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drawings/drawing4.xml" ContentType="application/vnd.openxmlformats-officedocument.drawing+xml"/>
  <Override PartName="/xl/ctrlProps/ctrlProp20.xml" ContentType="application/vnd.ms-excel.controlproperties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6.xml" ContentType="application/vnd.openxmlformats-officedocument.drawing+xml"/>
  <Override PartName="/xl/ctrlProps/ctrlProp32.xml" ContentType="application/vnd.ms-excel.controlproperties+xml"/>
  <Override PartName="/xl/drawings/drawing7.xml" ContentType="application/vnd.openxmlformats-officedocument.drawing+xml"/>
  <Override PartName="/xl/ctrlProps/ctrlProp33.xml" ContentType="application/vnd.ms-excel.controlproperties+xml"/>
  <Override PartName="/xl/drawings/drawing8.xml" ContentType="application/vnd.openxmlformats-officedocument.drawing+xml"/>
  <Override PartName="/xl/ctrlProps/ctrlProp34.xml" ContentType="application/vnd.ms-excel.controlproperties+xml"/>
  <Override PartName="/xl/drawings/drawing9.xml" ContentType="application/vnd.openxmlformats-officedocument.drawing+xml"/>
  <Override PartName="/xl/ctrlProps/ctrlProp35.xml" ContentType="application/vnd.ms-excel.controlproperties+xml"/>
  <Override PartName="/xl/drawings/drawing10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omments2.xml" ContentType="application/vnd.openxmlformats-officedocument.spreadsheetml.comments+xml"/>
  <Override PartName="/xl/drawings/drawing11.xml" ContentType="application/vnd.openxmlformats-officedocument.drawing+xml"/>
  <Override PartName="/xl/ctrlProps/ctrlProp44.xml" ContentType="application/vnd.ms-excel.controlproperties+xml"/>
  <Override PartName="/xl/ctrlProps/ctrlProp45.xml" ContentType="application/vnd.ms-excel.controlproperties+xml"/>
  <Override PartName="/xl/drawings/drawing12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drawings/drawing13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drawings/drawing1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omments3.xml" ContentType="application/vnd.openxmlformats-officedocument.spreadsheetml.comments+xml"/>
  <Override PartName="/xl/drawings/drawing1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omments4.xml" ContentType="application/vnd.openxmlformats-officedocument.spreadsheetml.comments+xml"/>
  <Override PartName="/xl/drawings/drawing16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omments5.xml" ContentType="application/vnd.openxmlformats-officedocument.spreadsheetml.comments+xml"/>
  <Override PartName="/xl/drawings/drawing1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omments6.xml" ContentType="application/vnd.openxmlformats-officedocument.spreadsheetml.comments+xml"/>
  <Override PartName="/xl/drawings/drawing18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omments7.xml" ContentType="application/vnd.openxmlformats-officedocument.spreadsheetml.comments+xml"/>
  <Override PartName="/xl/drawings/drawing19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omments8.xml" ContentType="application/vnd.openxmlformats-officedocument.spreadsheetml.comments+xml"/>
  <Override PartName="/xl/drawings/drawing20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omments9.xml" ContentType="application/vnd.openxmlformats-officedocument.spreadsheetml.comments+xml"/>
  <Override PartName="/xl/drawings/drawing21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omments10.xml" ContentType="application/vnd.openxmlformats-officedocument.spreadsheetml.comments+xml"/>
  <Override PartName="/xl/drawings/drawing22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omments11.xml" ContentType="application/vnd.openxmlformats-officedocument.spreadsheetml.comments+xml"/>
  <Override PartName="/xl/drawings/drawing23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omments12.xml" ContentType="application/vnd.openxmlformats-officedocument.spreadsheetml.comments+xml"/>
  <Override PartName="/xl/drawings/drawing24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omments13.xml" ContentType="application/vnd.openxmlformats-officedocument.spreadsheetml.comments+xml"/>
  <Override PartName="/xl/drawings/drawing25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omments14.xml" ContentType="application/vnd.openxmlformats-officedocument.spreadsheetml.comments+xml"/>
  <Override PartName="/xl/drawings/drawing26.xml" ContentType="application/vnd.openxmlformats-officedocument.drawing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ctrlProps/ctrlProp115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ctrlProps/ctrlProp123.xml" ContentType="application/vnd.ms-excel.controlproperties+xml"/>
  <Override PartName="/xl/drawings/drawing33.xml" ContentType="application/vnd.openxmlformats-officedocument.drawing+xml"/>
  <Override PartName="/xl/ctrlProps/ctrlProp124.xml" ContentType="application/vnd.ms-excel.controlproperties+xml"/>
  <Override PartName="/xl/drawings/drawing34.xml" ContentType="application/vnd.openxmlformats-officedocument.drawing+xml"/>
  <Override PartName="/xl/ctrlProps/ctrlProp125.xml" ContentType="application/vnd.ms-excel.controlproperties+xml"/>
  <Override PartName="/xl/drawings/drawing35.xml" ContentType="application/vnd.openxmlformats-officedocument.drawing+xml"/>
  <Override PartName="/xl/ctrlProps/ctrlProp126.xml" ContentType="application/vnd.ms-excel.controlproperties+xml"/>
  <Override PartName="/xl/drawings/drawing36.xml" ContentType="application/vnd.openxmlformats-officedocument.drawing+xml"/>
  <Override PartName="/xl/ctrlProps/ctrlProp127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omments15.xml" ContentType="application/vnd.openxmlformats-officedocument.spreadsheetml.comment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ctrlProps/ctrlProp135.xml" ContentType="application/vnd.ms-excel.controlproperti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ctrlProps/ctrlProp136.xml" ContentType="application/vnd.ms-excel.controlproperties+xml"/>
  <Override PartName="/xl/comments1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saveExternalLinkValues="0" updateLinks="never" codeName="ThisWorkbook"/>
  <mc:AlternateContent xmlns:mc="http://schemas.openxmlformats.org/markup-compatibility/2006">
    <mc:Choice Requires="x15">
      <x15ac:absPath xmlns:x15ac="http://schemas.microsoft.com/office/spreadsheetml/2010/11/ac" url="I:\Sales\2023 RSM Quotes\23-00331 Ultratech Tool &amp; Design Inc\02 Perf SS RFQ ROI and Proposal Drawing\01 Performance Spreadsheets\"/>
    </mc:Choice>
  </mc:AlternateContent>
  <xr:revisionPtr revIDLastSave="0" documentId="13_ncr:1_{04ECAC59-8A22-46CF-BBEF-64780B5CD7CF}" xr6:coauthVersionLast="47" xr6:coauthVersionMax="47" xr10:uidLastSave="{00000000-0000-0000-0000-000000000000}"/>
  <bookViews>
    <workbookView xWindow="-108" yWindow="-108" windowWidth="23256" windowHeight="12576" tabRatio="878" activeTab="1" xr2:uid="{00000000-000D-0000-FFFF-FFFF00000000}"/>
  </bookViews>
  <sheets>
    <sheet name="Table of Contents" sheetId="35" r:id="rId1"/>
    <sheet name="RFQ" sheetId="80" r:id="rId2"/>
    <sheet name="MAP" sheetId="86" state="hidden" r:id="rId3"/>
    <sheet name="Material Specifications" sheetId="34" r:id="rId4"/>
    <sheet name="Lookups" sheetId="60" state="hidden" r:id="rId5"/>
    <sheet name="Passlines" sheetId="57" state="hidden" r:id="rId6"/>
    <sheet name="Equipment Summary" sheetId="2" r:id="rId7"/>
    <sheet name="TD,DB,HD (1)" sheetId="1" r:id="rId8"/>
    <sheet name="TD,DB,HD (2)" sheetId="53" r:id="rId9"/>
    <sheet name="TD,DB,HD (3)" sheetId="76" r:id="rId10"/>
    <sheet name="TD,DB,HD (4)" sheetId="81" r:id="rId11"/>
    <sheet name="Reel Drive" sheetId="3" state="hidden" r:id="rId12"/>
    <sheet name="Str. Utility (1)" sheetId="5" r:id="rId13"/>
    <sheet name="Str. Utility (2)" sheetId="6" r:id="rId14"/>
    <sheet name="Str. Utility (3)" sheetId="75" r:id="rId15"/>
    <sheet name="Str. Utility (4)" sheetId="82" r:id="rId16"/>
    <sheet name="7 Roll Str. Backbend (1)" sheetId="10" r:id="rId17"/>
    <sheet name="7 Roll Str. Backbend (2)" sheetId="11" r:id="rId18"/>
    <sheet name="7 Roll Str. Backbend (3)" sheetId="77" r:id="rId19"/>
    <sheet name="7 Roll Str. Backbend (4)" sheetId="83" r:id="rId20"/>
    <sheet name="9 Roll Str. Backbend (1)" sheetId="14" state="hidden" r:id="rId21"/>
    <sheet name="9 Roll Str. Backbend (2)" sheetId="15" state="hidden" r:id="rId22"/>
    <sheet name="9 Roll Str. Backbend (3)" sheetId="78" state="hidden" r:id="rId23"/>
    <sheet name="9 Roll Str. Backbend (4)" sheetId="84" state="hidden" r:id="rId24"/>
    <sheet name="11 Roll Str. Backbend (1)" sheetId="18" state="hidden" r:id="rId25"/>
    <sheet name="11 Roll Str. Backbend (2)" sheetId="19" state="hidden" r:id="rId26"/>
    <sheet name="11 Roll Str. Backbend (3)" sheetId="79" state="hidden" r:id="rId27"/>
    <sheet name="11 Roll Str. Backbend (4)" sheetId="85" state="hidden" r:id="rId28"/>
    <sheet name="Sigma 5 Feed (1)" sheetId="41" r:id="rId29"/>
    <sheet name="Regen" sheetId="42" state="hidden" r:id="rId30"/>
    <sheet name="Inertia" sheetId="43" state="hidden" r:id="rId31"/>
    <sheet name="Time" sheetId="44" state="hidden" r:id="rId32"/>
    <sheet name="Sigma 5 Feed (2)" sheetId="54" r:id="rId33"/>
    <sheet name="Regen2" sheetId="47" state="hidden" r:id="rId34"/>
    <sheet name="Inertia2" sheetId="61" state="hidden" r:id="rId35"/>
    <sheet name="Time2" sheetId="49" state="hidden" r:id="rId36"/>
    <sheet name="Sigma 5 Feed With Pull Thru (1)" sheetId="50" state="hidden" r:id="rId37"/>
    <sheet name="Regen3" sheetId="62" state="hidden" r:id="rId38"/>
    <sheet name="Inertia3" sheetId="48" state="hidden" r:id="rId39"/>
    <sheet name="Time3" sheetId="63" state="hidden" r:id="rId40"/>
    <sheet name="Single Rake Hyd. Shear (1)" sheetId="22" state="hidden" r:id="rId41"/>
    <sheet name="Single Rake Hyd. Shear (2)" sheetId="23" state="hidden" r:id="rId42"/>
    <sheet name="Bow Tie Hyd. Shear (1)" sheetId="24" state="hidden" r:id="rId43"/>
    <sheet name="Bow Tie Hyd. Shear (2)" sheetId="25" state="hidden" r:id="rId44"/>
    <sheet name="Sigma 5 Feed With Pull Thru (2)" sheetId="64" state="hidden" r:id="rId45"/>
    <sheet name="Regen4" sheetId="65" state="hidden" r:id="rId46"/>
    <sheet name="Inertia4" sheetId="66" state="hidden" r:id="rId47"/>
    <sheet name="Time4" sheetId="67" state="hidden" r:id="rId48"/>
    <sheet name="Allen Bradley MPL - Feed (1)" sheetId="51" state="hidden" r:id="rId49"/>
    <sheet name="Regen5" sheetId="69" state="hidden" r:id="rId50"/>
    <sheet name="Inertia5" sheetId="68" state="hidden" r:id="rId51"/>
    <sheet name="Time5" sheetId="71" state="hidden" r:id="rId52"/>
    <sheet name="Allen Bradley MPL - Feed (2)" sheetId="56" state="hidden" r:id="rId53"/>
    <sheet name="Regen6" sheetId="72" state="hidden" r:id="rId54"/>
    <sheet name="Inertia6" sheetId="73" state="hidden" r:id="rId55"/>
    <sheet name="Time6" sheetId="74" state="hidden" r:id="rId56"/>
    <sheet name="Zig-Zag" sheetId="36" state="hidden" r:id="rId57"/>
  </sheets>
  <functionGroups builtInGroupCount="19"/>
  <definedNames>
    <definedName name="ABModels">_xlfn.ANCHORARRAY(Lookups!$P$429)</definedName>
    <definedName name="ABOK">'Allen Bradley MPL - Feed (1)'!$V$2</definedName>
    <definedName name="ABWidths">_xlfn.ANCHORARRAY(Lookups!$Q$429)</definedName>
    <definedName name="ACC" localSheetId="43">#REF!</definedName>
    <definedName name="ACC" localSheetId="41">#REF!</definedName>
    <definedName name="ACCEL" localSheetId="48">'Allen Bradley MPL - Feed (1)'!$B$19</definedName>
    <definedName name="ACCEL" localSheetId="52">'Allen Bradley MPL - Feed (2)'!$B$19</definedName>
    <definedName name="ACCEL" localSheetId="11">'Reel Drive'!$B$32</definedName>
    <definedName name="ACCEL" localSheetId="28">'Sigma 5 Feed (1)'!$B$19</definedName>
    <definedName name="ACCEL" localSheetId="32">'Sigma 5 Feed (2)'!$B$19</definedName>
    <definedName name="ACCEL" localSheetId="36">'Sigma 5 Feed With Pull Thru (1)'!$B$19</definedName>
    <definedName name="ACCEL" localSheetId="44">'Sigma 5 Feed With Pull Thru (2)'!$B$19</definedName>
    <definedName name="accel" localSheetId="12">'Str. Utility (1)'!$B$21</definedName>
    <definedName name="accel" localSheetId="13">'Str. Utility (2)'!$B$21</definedName>
    <definedName name="accel" localSheetId="14">'Str. Utility (3)'!$B$21</definedName>
    <definedName name="accel" localSheetId="15">'Str. Utility (4)'!$B$21</definedName>
    <definedName name="ACCEL" localSheetId="31">Time!$E$32</definedName>
    <definedName name="ACCEL" localSheetId="35">Time2!$E$32</definedName>
    <definedName name="ACCEL" localSheetId="39">Time3!$E$32</definedName>
    <definedName name="ACCEL" localSheetId="47">Time4!$E$32</definedName>
    <definedName name="ACCEL" localSheetId="51">Time5!$E$32</definedName>
    <definedName name="ACCEL" localSheetId="55">Time6!$E$32</definedName>
    <definedName name="ACCELTIME" localSheetId="43">#REF!</definedName>
    <definedName name="ACCELTIME" localSheetId="41">#REF!</definedName>
    <definedName name="ACCTM" localSheetId="48">'Allen Bradley MPL - Feed (1)'!$B$102</definedName>
    <definedName name="ACCTM" localSheetId="52">'Allen Bradley MPL - Feed (2)'!$B$102</definedName>
    <definedName name="ACCTM" localSheetId="29">Regen!$B$42</definedName>
    <definedName name="ACCTM" localSheetId="33">Regen2!$B$42</definedName>
    <definedName name="ACCTM" localSheetId="37">Regen3!$B$42</definedName>
    <definedName name="ACCTM" localSheetId="45">Regen4!$B$42</definedName>
    <definedName name="ACCTM" localSheetId="49">Regen5!$B$42</definedName>
    <definedName name="ACCTM" localSheetId="53">Regen6!$B$42</definedName>
    <definedName name="ACCTM" localSheetId="28">'Sigma 5 Feed (1)'!$B$102</definedName>
    <definedName name="ACCTM" localSheetId="32">'Sigma 5 Feed (2)'!$B$102</definedName>
    <definedName name="ACCTM" localSheetId="36">'Sigma 5 Feed With Pull Thru (1)'!$B$102</definedName>
    <definedName name="ACCTM" localSheetId="44">'Sigma 5 Feed With Pull Thru (2)'!$B$102</definedName>
    <definedName name="ACCTM" localSheetId="31">Time!$B$7</definedName>
    <definedName name="ACCTM" localSheetId="35">Time2!$B$7</definedName>
    <definedName name="ACCTM" localSheetId="39">Time3!$B$7</definedName>
    <definedName name="ACCTM" localSheetId="47">Time4!$B$7</definedName>
    <definedName name="ACCTM" localSheetId="51">Time5!$B$7</definedName>
    <definedName name="ACCTM" localSheetId="55">Time6!$B$7</definedName>
    <definedName name="ACCTM_2" localSheetId="48">'Allen Bradley MPL - Feed (1)'!$B$103</definedName>
    <definedName name="ACCTM_2" localSheetId="52">'Allen Bradley MPL - Feed (2)'!$B$103</definedName>
    <definedName name="ACCTM_2" localSheetId="28">'Sigma 5 Feed (1)'!$B$103</definedName>
    <definedName name="ACCTM_2" localSheetId="32">'Sigma 5 Feed (2)'!$B$103</definedName>
    <definedName name="ACCTM_2" localSheetId="36">'Sigma 5 Feed With Pull Thru (1)'!$B$103</definedName>
    <definedName name="ACCTM_2" localSheetId="44">'Sigma 5 Feed With Pull Thru (2)'!$B$103</definedName>
    <definedName name="ACCTM_2" localSheetId="31">Time!$L$7</definedName>
    <definedName name="ACCTM_2" localSheetId="35">Time2!$L$7</definedName>
    <definedName name="ACCTM_2" localSheetId="39">Time3!$L$7</definedName>
    <definedName name="ACCTM_2" localSheetId="47">Time4!$L$7</definedName>
    <definedName name="ACCTM_2" localSheetId="51">Time5!$L$7</definedName>
    <definedName name="ACCTM_2" localSheetId="55">Time6!$L$7</definedName>
    <definedName name="ACCTQ" localSheetId="48">'Allen Bradley MPL - Feed (1)'!$H$26</definedName>
    <definedName name="ACCTQ" localSheetId="52">'Allen Bradley MPL - Feed (2)'!$H$26</definedName>
    <definedName name="ACCTQ" localSheetId="28">'Sigma 5 Feed (1)'!$H$26</definedName>
    <definedName name="ACCTQ" localSheetId="32">'Sigma 5 Feed (2)'!$H$26</definedName>
    <definedName name="ACCTQ" localSheetId="36">'Sigma 5 Feed With Pull Thru (1)'!$H$85</definedName>
    <definedName name="ACCTQ" localSheetId="44">'Sigma 5 Feed With Pull Thru (2)'!$H$85</definedName>
    <definedName name="ACCTQ" localSheetId="31">Time!$E$33</definedName>
    <definedName name="ACCTQ" localSheetId="35">Time2!$E$33</definedName>
    <definedName name="ACCTQ" localSheetId="39">Time3!$E$33</definedName>
    <definedName name="ACCTQ" localSheetId="47">Time4!$E$33</definedName>
    <definedName name="ACCTQ" localSheetId="51">Time5!$E$33</definedName>
    <definedName name="ACCTQ" localSheetId="55">Time6!$E$33</definedName>
    <definedName name="ACCTQ_2" localSheetId="48">'Allen Bradley MPL - Feed (1)'!$G$77</definedName>
    <definedName name="ACCTQ_2" localSheetId="52">'Allen Bradley MPL - Feed (2)'!$G$77</definedName>
    <definedName name="ACCTQ_2" localSheetId="28">'Sigma 5 Feed (1)'!$G$80</definedName>
    <definedName name="ACCTQ_2" localSheetId="32">'Sigma 5 Feed (2)'!$G$80</definedName>
    <definedName name="ACCTQ_2" localSheetId="36">'Sigma 5 Feed With Pull Thru (1)'!$H$23</definedName>
    <definedName name="ACCTQ_2" localSheetId="44">'Sigma 5 Feed With Pull Thru (2)'!$H$23</definedName>
    <definedName name="ACCTQ_2" localSheetId="31">Time!$E$34</definedName>
    <definedName name="ACCTQ_2" localSheetId="35">Time2!$E$34</definedName>
    <definedName name="ACCTQ_2" localSheetId="39">Time3!$E$34</definedName>
    <definedName name="ACCTQ_2" localSheetId="47">Time4!$E$34</definedName>
    <definedName name="ACCTQ_2" localSheetId="51">Time5!$E$34</definedName>
    <definedName name="ACCTQ_2" localSheetId="55">Time6!$E$34</definedName>
    <definedName name="ACELTIME" localSheetId="11">'Reel Drive'!$B$33</definedName>
    <definedName name="air_clutch" localSheetId="7">'TD,DB,HD (1)'!$B$19</definedName>
    <definedName name="air_clutch" localSheetId="8">'TD,DB,HD (2)'!$B$17</definedName>
    <definedName name="air_clutch" localSheetId="9">'TD,DB,HD (3)'!$B$17</definedName>
    <definedName name="air_clutch" localSheetId="10">'TD,DB,HD (4)'!$B$17</definedName>
    <definedName name="air_press" localSheetId="7">'TD,DB,HD (1)'!$B$15</definedName>
    <definedName name="air_press" localSheetId="8">'TD,DB,HD (2)'!$B$13</definedName>
    <definedName name="air_press" localSheetId="9">'TD,DB,HD (3)'!$B$13</definedName>
    <definedName name="air_press" localSheetId="10">'TD,DB,HD (4)'!$B$13</definedName>
    <definedName name="ALLACC" localSheetId="48">'Allen Bradley MPL - Feed (1)'!$B$104</definedName>
    <definedName name="ALLACC" localSheetId="52">'Allen Bradley MPL - Feed (2)'!$B$104</definedName>
    <definedName name="ALLACC" localSheetId="28">'Sigma 5 Feed (1)'!$B$104</definedName>
    <definedName name="ALLACC" localSheetId="32">'Sigma 5 Feed (2)'!$B$104</definedName>
    <definedName name="ALLACC" localSheetId="36">'Sigma 5 Feed With Pull Thru (1)'!$B$104</definedName>
    <definedName name="ALLACC" localSheetId="44">'Sigma 5 Feed With Pull Thru (2)'!$B$104</definedName>
    <definedName name="ALLACC" localSheetId="31">Time!$B$3</definedName>
    <definedName name="ALLACC" localSheetId="35">Time2!$B$3</definedName>
    <definedName name="ALLACC" localSheetId="39">Time3!$B$3</definedName>
    <definedName name="ALLACC" localSheetId="47">Time4!$B$3</definedName>
    <definedName name="ALLACC" localSheetId="51">Time5!$B$3</definedName>
    <definedName name="ALLACC" localSheetId="55">Time6!$B$3</definedName>
    <definedName name="ALLACC_2" localSheetId="48">'Allen Bradley MPL - Feed (1)'!$B$105</definedName>
    <definedName name="ALLACC_2" localSheetId="52">'Allen Bradley MPL - Feed (2)'!$B$105</definedName>
    <definedName name="ALLACC_2" localSheetId="28">'Sigma 5 Feed (1)'!$B$105</definedName>
    <definedName name="ALLACC_2" localSheetId="32">'Sigma 5 Feed (2)'!$B$105</definedName>
    <definedName name="ALLACC_2" localSheetId="36">'Sigma 5 Feed With Pull Thru (1)'!$B$105</definedName>
    <definedName name="ALLACC_2" localSheetId="44">'Sigma 5 Feed With Pull Thru (2)'!$B$105</definedName>
    <definedName name="ALLACC_2" localSheetId="31">Time!$L$3</definedName>
    <definedName name="ALLACC_2" localSheetId="35">Time2!$L$3</definedName>
    <definedName name="ALLACC_2" localSheetId="39">Time3!$L$3</definedName>
    <definedName name="ALLACC_2" localSheetId="47">Time4!$L$3</definedName>
    <definedName name="ALLACC_2" localSheetId="51">Time5!$L$3</definedName>
    <definedName name="ALLACC_2" localSheetId="55">Time6!$L$3</definedName>
    <definedName name="AllStrOK">'Str. Utility (1)'!$F$36</definedName>
    <definedName name="application" localSheetId="48">'Allen Bradley MPL - Feed (1)'!$B$8</definedName>
    <definedName name="application" localSheetId="52">'Allen Bradley MPL - Feed (2)'!$B$8</definedName>
    <definedName name="application" localSheetId="28">'Sigma 5 Feed (1)'!$B$8</definedName>
    <definedName name="application" localSheetId="32">'Sigma 5 Feed (2)'!$B$8</definedName>
    <definedName name="application" localSheetId="36">'Sigma 5 Feed With Pull Thru (1)'!$B$8</definedName>
    <definedName name="application" localSheetId="44">'Sigma 5 Feed With Pull Thru (2)'!$B$8</definedName>
    <definedName name="application" localSheetId="31">Time!$E$35</definedName>
    <definedName name="application" localSheetId="35">Time2!$E$35</definedName>
    <definedName name="application" localSheetId="39">Time3!$E$35</definedName>
    <definedName name="application" localSheetId="47">Time4!$E$35</definedName>
    <definedName name="application" localSheetId="51">Time5!$E$35</definedName>
    <definedName name="application" localSheetId="55">Time6!$E$35</definedName>
    <definedName name="BackbendConfirm">Lookups!$B$248</definedName>
    <definedName name="BackbendMax">Lookups!$B$247</definedName>
    <definedName name="BackbendMin">Lookups!$B$246</definedName>
    <definedName name="BackbendNCText">Lookups!$B$250</definedName>
    <definedName name="BackbendNOText">Lookups!$B$251</definedName>
    <definedName name="BackbendOKText">Lookups!$B$249</definedName>
    <definedName name="BackplateType">'Material Specifications'!$B$34</definedName>
    <definedName name="BEARINGDIST" localSheetId="11">'Reel Drive'!$D$12</definedName>
    <definedName name="BPDIA" localSheetId="11">'Reel Drive'!$B$16</definedName>
    <definedName name="BPINT" localSheetId="11">'Reel Drive'!$G$16</definedName>
    <definedName name="BPREFLI" localSheetId="11">'Reel Drive'!$H$16</definedName>
    <definedName name="BPTHICK" localSheetId="11">'Reel Drive'!$C$16</definedName>
    <definedName name="BPWEIGHT" localSheetId="11">'Reel Drive'!$F$16</definedName>
    <definedName name="brake_dist" localSheetId="7">'TD,DB,HD (1)'!$F$56</definedName>
    <definedName name="brake_dist" localSheetId="8">'TD,DB,HD (2)'!$F$52</definedName>
    <definedName name="brake_dist" localSheetId="9">'TD,DB,HD (3)'!$F$52</definedName>
    <definedName name="brake_dist" localSheetId="10">'TD,DB,HD (4)'!$F$52</definedName>
    <definedName name="brake_paddia" localSheetId="7">'TD,DB,HD (1)'!$J$12</definedName>
    <definedName name="brake_paddia" localSheetId="8">'TD,DB,HD (2)'!$J$10</definedName>
    <definedName name="brake_paddia" localSheetId="9">'TD,DB,HD (3)'!$J$10</definedName>
    <definedName name="brake_paddia" localSheetId="10">'TD,DB,HD (4)'!$J$10</definedName>
    <definedName name="brake_qty" localSheetId="7">'TD,DB,HD (1)'!$J$20</definedName>
    <definedName name="brake_qty" localSheetId="8">'TD,DB,HD (2)'!$J$18</definedName>
    <definedName name="brake_qty" localSheetId="9">'TD,DB,HD (3)'!$J$18</definedName>
    <definedName name="brake_qty" localSheetId="10">'TD,DB,HD (4)'!$J$18</definedName>
    <definedName name="BRGDIST" localSheetId="43">#REF!</definedName>
    <definedName name="BRGDIST" localSheetId="41">#REF!</definedName>
    <definedName name="CalcDate">'Material Specifications'!$B$4</definedName>
    <definedName name="cent_dist" localSheetId="24">'11 Roll Str. Backbend (1)'!$B$19</definedName>
    <definedName name="cent_dist" localSheetId="25">'11 Roll Str. Backbend (2)'!$B$19</definedName>
    <definedName name="cent_dist" localSheetId="26">'11 Roll Str. Backbend (3)'!$B$19</definedName>
    <definedName name="cent_dist" localSheetId="27">'11 Roll Str. Backbend (4)'!$B$19</definedName>
    <definedName name="cent_dist" localSheetId="16">'7 Roll Str. Backbend (1)'!$B$19</definedName>
    <definedName name="cent_dist" localSheetId="17">'7 Roll Str. Backbend (2)'!$B$19</definedName>
    <definedName name="cent_dist" localSheetId="18">'7 Roll Str. Backbend (3)'!$B$19</definedName>
    <definedName name="cent_dist" localSheetId="19">'7 Roll Str. Backbend (4)'!$B$19</definedName>
    <definedName name="cent_dist" localSheetId="20">'9 Roll Str. Backbend (1)'!$B$19</definedName>
    <definedName name="cent_dist" localSheetId="21">'9 Roll Str. Backbend (2)'!$B$19</definedName>
    <definedName name="cent_dist" localSheetId="22">'9 Roll Str. Backbend (3)'!$B$19</definedName>
    <definedName name="cent_dist" localSheetId="23">'9 Roll Str. Backbend (4)'!$B$19</definedName>
    <definedName name="cent_dist" localSheetId="43">#REF!</definedName>
    <definedName name="cent_dist" localSheetId="41">#REF!</definedName>
    <definedName name="cent_dist" localSheetId="12">'Str. Utility (1)'!$B$27</definedName>
    <definedName name="cent_dist" localSheetId="13">'Str. Utility (2)'!$B$27</definedName>
    <definedName name="cent_dist" localSheetId="14">'Str. Utility (3)'!$B$27</definedName>
    <definedName name="cent_dist" localSheetId="15">'Str. Utility (4)'!$B$27</definedName>
    <definedName name="CHAINRATIO" localSheetId="11">'Reel Drive'!$B$22</definedName>
    <definedName name="CNT.DIS" localSheetId="36">'Sigma 5 Feed With Pull Thru (1)'!$G$15</definedName>
    <definedName name="CNT.DIS" localSheetId="44">'Sigma 5 Feed With Pull Thru (2)'!$G$15</definedName>
    <definedName name="coil_id" localSheetId="12">'Str. Utility (1)'!$B$14</definedName>
    <definedName name="coil_id" localSheetId="13">'Str. Utility (2)'!$B$14</definedName>
    <definedName name="coil_id" localSheetId="14">'Str. Utility (3)'!$B$14</definedName>
    <definedName name="coil_id" localSheetId="15">'Str. Utility (4)'!$B$14</definedName>
    <definedName name="coil_ID" localSheetId="7">'TD,DB,HD (1)'!$B$56</definedName>
    <definedName name="coil_ID" localSheetId="8">'TD,DB,HD (2)'!$B$52</definedName>
    <definedName name="coil_ID" localSheetId="9">'TD,DB,HD (3)'!$B$52</definedName>
    <definedName name="coil_ID" localSheetId="10">'TD,DB,HD (4)'!$B$52</definedName>
    <definedName name="coil_od" localSheetId="12">'Str. Utility (1)'!$F$25</definedName>
    <definedName name="coil_od" localSheetId="13">'Str. Utility (2)'!$F$25</definedName>
    <definedName name="coil_od" localSheetId="14">'Str. Utility (3)'!$F$25</definedName>
    <definedName name="coil_od" localSheetId="15">'Str. Utility (4)'!$F$25</definedName>
    <definedName name="coil_od" localSheetId="7">'TD,DB,HD (1)'!$F$13</definedName>
    <definedName name="coil_od" localSheetId="8">'TD,DB,HD (2)'!$F$11</definedName>
    <definedName name="coil_od" localSheetId="9">'TD,DB,HD (3)'!$F$11</definedName>
    <definedName name="coil_od" localSheetId="10">'TD,DB,HD (4)'!$F$11</definedName>
    <definedName name="Coil_weight" localSheetId="43">#REF!</definedName>
    <definedName name="Coil_weight" localSheetId="41">#REF!</definedName>
    <definedName name="Coil_weight" localSheetId="12">'Str. Utility (1)'!$B$13</definedName>
    <definedName name="Coil_weight" localSheetId="13">'Str. Utility (2)'!$B$13</definedName>
    <definedName name="Coil_weight" localSheetId="14">'Str. Utility (3)'!$B$13</definedName>
    <definedName name="Coil_weight" localSheetId="15">'Str. Utility (4)'!$B$13</definedName>
    <definedName name="coil_width" localSheetId="43">#REF!</definedName>
    <definedName name="coil_width" localSheetId="41">#REF!</definedName>
    <definedName name="coil_width" localSheetId="12">'Str. Utility (1)'!$B$15</definedName>
    <definedName name="coil_width" localSheetId="13">'Str. Utility (2)'!$B$15</definedName>
    <definedName name="coil_width" localSheetId="14">'Str. Utility (3)'!$B$15</definedName>
    <definedName name="coil_width" localSheetId="15">'Str. Utility (4)'!$B$15</definedName>
    <definedName name="COILDENS" localSheetId="11">'Reel Drive'!$B$18</definedName>
    <definedName name="COILID" localSheetId="11">'Reel Drive'!$D$18</definedName>
    <definedName name="CoilID" localSheetId="1">RFQ!$T$25</definedName>
    <definedName name="CoilID_1">'Material Specifications'!$B$21</definedName>
    <definedName name="CoilID_2">'Material Specifications'!$C$21</definedName>
    <definedName name="CoilID_3">'Material Specifications'!$D$21</definedName>
    <definedName name="CoilID_4">'Material Specifications'!$E$21</definedName>
    <definedName name="COILINT" localSheetId="11">'Reel Drive'!$G$18</definedName>
    <definedName name="CoilLoading" localSheetId="1">RFQ!$V$99</definedName>
    <definedName name="COILOD" localSheetId="11">'Reel Drive'!$C$18</definedName>
    <definedName name="CoilOD_1">'Material Specifications'!$B$20</definedName>
    <definedName name="CoilOD_2">'Material Specifications'!$C$20</definedName>
    <definedName name="CoilOD_3">'Material Specifications'!$D$20</definedName>
    <definedName name="CoilOD_4">'Material Specifications'!$E$20</definedName>
    <definedName name="COILREFLI" localSheetId="11">'Reel Drive'!$H$18</definedName>
    <definedName name="COILWEIGHT" localSheetId="11">'Reel Drive'!$B$12</definedName>
    <definedName name="CoilWeight_1">'Material Specifications'!$B$12</definedName>
    <definedName name="CoilWeight_2">'Material Specifications'!$C$12</definedName>
    <definedName name="CoilWeight_3">'Material Specifications'!$D$12</definedName>
    <definedName name="CoilWeight_4">'Material Specifications'!$E$12</definedName>
    <definedName name="COILWIDTH" localSheetId="11">'Reel Drive'!$E$18</definedName>
    <definedName name="CoilWidth_1">'Material Specifications'!$B$11</definedName>
    <definedName name="CoilWidth_2">'Material Specifications'!$C$11</definedName>
    <definedName name="CoilWidth_3">'Material Specifications'!$D$11</definedName>
    <definedName name="CoilWidth_4">'Material Specifications'!$E$11</definedName>
    <definedName name="CoilWidth_Max">MAX(CoilWidth_1,CoilWidth_2,CoilWidth_3,CoilWidth_4)</definedName>
    <definedName name="COILWIT" localSheetId="43">#REF!</definedName>
    <definedName name="COILWIT" localSheetId="41">#REF!</definedName>
    <definedName name="Company" localSheetId="1">RFQ!$F$9</definedName>
    <definedName name="ControlsLevel">'Material Specifications'!$B$27</definedName>
    <definedName name="CosmeticMaterial" localSheetId="1">RFQ!$S$52</definedName>
    <definedName name="creep" localSheetId="43">#REF!</definedName>
    <definedName name="creep" localSheetId="41">#REF!</definedName>
    <definedName name="creep" localSheetId="12">'Str. Utility (1)'!$E$60</definedName>
    <definedName name="creep" localSheetId="13">'Str. Utility (2)'!$E$60</definedName>
    <definedName name="creep" localSheetId="14">'Str. Utility (3)'!$E$60</definedName>
    <definedName name="creep" localSheetId="15">'Str. Utility (4)'!$E$60</definedName>
    <definedName name="CTLSection" localSheetId="1">RFQ!$72:$79</definedName>
    <definedName name="curv_at_yld" localSheetId="24">'11 Roll Str. Backbend (1)'!$E$11</definedName>
    <definedName name="curv_at_yld" localSheetId="25">'11 Roll Str. Backbend (2)'!$E$11</definedName>
    <definedName name="curv_at_yld" localSheetId="26">'11 Roll Str. Backbend (3)'!$E$11</definedName>
    <definedName name="curv_at_yld" localSheetId="27">'11 Roll Str. Backbend (4)'!$E$11</definedName>
    <definedName name="curv_at_yld" localSheetId="16">'7 Roll Str. Backbend (1)'!$E$11</definedName>
    <definedName name="curv_at_yld" localSheetId="17">'7 Roll Str. Backbend (2)'!$E$11</definedName>
    <definedName name="curv_at_yld" localSheetId="18">'7 Roll Str. Backbend (3)'!$E$11</definedName>
    <definedName name="curv_at_yld" localSheetId="19">'7 Roll Str. Backbend (4)'!$E$11</definedName>
    <definedName name="curv_at_yld" localSheetId="20">'9 Roll Str. Backbend (1)'!$E$11</definedName>
    <definedName name="curv_at_yld" localSheetId="21">'9 Roll Str. Backbend (2)'!$E$11</definedName>
    <definedName name="curv_at_yld" localSheetId="22">'9 Roll Str. Backbend (3)'!$E$11</definedName>
    <definedName name="curv_at_yld" localSheetId="23">'9 Roll Str. Backbend (4)'!$E$11</definedName>
    <definedName name="curv_at_yld" localSheetId="43">#REF!</definedName>
    <definedName name="curv_at_yld" localSheetId="41">#REF!</definedName>
    <definedName name="curv_at_yld" localSheetId="12">'Str. Utility (1)'!$M$8</definedName>
    <definedName name="curv_at_yld" localSheetId="13">'Str. Utility (2)'!$M$8</definedName>
    <definedName name="curv_at_yld" localSheetId="14">'Str. Utility (3)'!$M$8</definedName>
    <definedName name="curv_at_yld" localSheetId="15">'Str. Utility (4)'!$M$8</definedName>
    <definedName name="Customer">'Material Specifications'!$B$3</definedName>
    <definedName name="cw_weight" localSheetId="7">'TD,DB,HD (1)'!$F$12</definedName>
    <definedName name="cw_weight" localSheetId="8">'TD,DB,HD (2)'!$F$10</definedName>
    <definedName name="cw_weight" localSheetId="9">'TD,DB,HD (3)'!$F$10</definedName>
    <definedName name="cw_weight" localSheetId="10">'TD,DB,HD (4)'!$F$10</definedName>
    <definedName name="CWEIGHT" localSheetId="43">#REF!</definedName>
    <definedName name="CWEIGHT" localSheetId="41">#REF!</definedName>
    <definedName name="CYCTM" localSheetId="48">'Allen Bradley MPL - Feed (1)'!$B$106</definedName>
    <definedName name="CYCTM" localSheetId="52">'Allen Bradley MPL - Feed (2)'!$B$106</definedName>
    <definedName name="CYCTM" localSheetId="29">Regen!$B$43</definedName>
    <definedName name="CYCTM" localSheetId="33">Regen2!$B$43</definedName>
    <definedName name="CYCTM" localSheetId="37">Regen3!$B$43</definedName>
    <definedName name="CYCTM" localSheetId="45">Regen4!$B$43</definedName>
    <definedName name="CYCTM" localSheetId="49">Regen5!$B$43</definedName>
    <definedName name="CYCTM" localSheetId="53">Regen6!$B$43</definedName>
    <definedName name="CYCTM" localSheetId="28">'Sigma 5 Feed (1)'!$B$106</definedName>
    <definedName name="CYCTM" localSheetId="32">'Sigma 5 Feed (2)'!$B$106</definedName>
    <definedName name="CYCTM" localSheetId="36">'Sigma 5 Feed With Pull Thru (1)'!$B$106</definedName>
    <definedName name="CYCTM" localSheetId="44">'Sigma 5 Feed With Pull Thru (2)'!$B$106</definedName>
    <definedName name="CYCTM" localSheetId="31">Time!$B$9</definedName>
    <definedName name="CYCTM" localSheetId="35">Time2!$B$9</definedName>
    <definedName name="CYCTM" localSheetId="39">Time3!$B$9</definedName>
    <definedName name="CYCTM" localSheetId="47">Time4!$B$9</definedName>
    <definedName name="CYCTM" localSheetId="51">Time5!$B$9</definedName>
    <definedName name="CYCTM" localSheetId="55">Time6!$B$9</definedName>
    <definedName name="CYCTM_2" localSheetId="48">'Allen Bradley MPL - Feed (1)'!$B$107</definedName>
    <definedName name="CYCTM_2" localSheetId="52">'Allen Bradley MPL - Feed (2)'!$B$107</definedName>
    <definedName name="CYCTM_2" localSheetId="28">'Sigma 5 Feed (1)'!$B$107</definedName>
    <definedName name="CYCTM_2" localSheetId="32">'Sigma 5 Feed (2)'!$B$107</definedName>
    <definedName name="CYCTM_2" localSheetId="36">'Sigma 5 Feed With Pull Thru (1)'!$B$107</definedName>
    <definedName name="CYCTM_2" localSheetId="44">'Sigma 5 Feed With Pull Thru (2)'!$B$107</definedName>
    <definedName name="CYCTM_2" localSheetId="31">Time!$L$9</definedName>
    <definedName name="CYCTM_2" localSheetId="35">Time2!$L$9</definedName>
    <definedName name="CYCTM_2" localSheetId="39">Time3!$L$9</definedName>
    <definedName name="CYCTM_2" localSheetId="47">Time4!$L$9</definedName>
    <definedName name="CYCTM_2" localSheetId="51">Time5!$L$9</definedName>
    <definedName name="CYCTM_2" localSheetId="55">Time6!$L$9</definedName>
    <definedName name="cyl_bore" localSheetId="7">'TD,DB,HD (1)'!$J$13</definedName>
    <definedName name="cyl_bore" localSheetId="8">'TD,DB,HD (2)'!$J$11</definedName>
    <definedName name="cyl_bore" localSheetId="9">'TD,DB,HD (3)'!$J$11</definedName>
    <definedName name="cyl_bore" localSheetId="10">'TD,DB,HD (4)'!$J$11</definedName>
    <definedName name="cyl_rod" localSheetId="7">'TD,DB,HD (1)'!$F$57</definedName>
    <definedName name="cyl_rod" localSheetId="8">'TD,DB,HD (2)'!$F$53</definedName>
    <definedName name="cyl_rod" localSheetId="9">'TD,DB,HD (3)'!$F$53</definedName>
    <definedName name="cyl_rod" localSheetId="10">'TD,DB,HD (4)'!$F$53</definedName>
    <definedName name="decel" localSheetId="7">'TD,DB,HD (1)'!$B$16</definedName>
    <definedName name="decel" localSheetId="8">'TD,DB,HD (2)'!$B$14</definedName>
    <definedName name="decel" localSheetId="9">'TD,DB,HD (3)'!$B$14</definedName>
    <definedName name="decel" localSheetId="10">'TD,DB,HD (4)'!$B$14</definedName>
    <definedName name="DecTm" localSheetId="48">'Allen Bradley MPL - Feed (1)'!$B$115</definedName>
    <definedName name="DecTm" localSheetId="52">'Allen Bradley MPL - Feed (2)'!$B$115</definedName>
    <definedName name="DecTm" localSheetId="29">Regen!$B$17</definedName>
    <definedName name="DecTm" localSheetId="33">Regen2!$B$17</definedName>
    <definedName name="DecTm" localSheetId="37">Regen3!$B$17</definedName>
    <definedName name="DecTm" localSheetId="45">Regen4!$B$17</definedName>
    <definedName name="DecTm" localSheetId="49">Regen5!$B$17</definedName>
    <definedName name="DecTm" localSheetId="53">Regen6!$B$17</definedName>
    <definedName name="DecTm" localSheetId="28">'Sigma 5 Feed (1)'!$B$115</definedName>
    <definedName name="DecTm" localSheetId="32">'Sigma 5 Feed (2)'!$B$115</definedName>
    <definedName name="DecTm" localSheetId="36">'Sigma 5 Feed With Pull Thru (1)'!$B$115</definedName>
    <definedName name="DecTm" localSheetId="44">'Sigma 5 Feed With Pull Thru (2)'!$B$115</definedName>
    <definedName name="DecTm" localSheetId="31">Time!$B$32</definedName>
    <definedName name="DecTm" localSheetId="35">Time2!$B$32</definedName>
    <definedName name="DecTm" localSheetId="39">Time3!$B$32</definedName>
    <definedName name="DecTm" localSheetId="47">Time4!$B$32</definedName>
    <definedName name="DecTm" localSheetId="51">Time5!$B$32</definedName>
    <definedName name="DecTm" localSheetId="55">Time6!$B$32</definedName>
    <definedName name="DENS" localSheetId="43">#REF!</definedName>
    <definedName name="DENS" localSheetId="41">#REF!</definedName>
    <definedName name="disp_endwheel" localSheetId="7">'TD,DB,HD (1)'!$E$17</definedName>
    <definedName name="disp_endwheel" localSheetId="8">'TD,DB,HD (2)'!$E$15</definedName>
    <definedName name="disp_endwheel" localSheetId="9">'TD,DB,HD (3)'!$E$15</definedName>
    <definedName name="disp_endwheel" localSheetId="10">'TD,DB,HD (4)'!$E$15</definedName>
    <definedName name="disp_reel" localSheetId="7">'TD,DB,HD (1)'!$F$14</definedName>
    <definedName name="disp_reel" localSheetId="8">'TD,DB,HD (2)'!$F$12</definedName>
    <definedName name="disp_reel" localSheetId="9">'TD,DB,HD (3)'!$F$12</definedName>
    <definedName name="disp_reel" localSheetId="10">'TD,DB,HD (4)'!$F$12</definedName>
    <definedName name="DriveFamily">Lookups!$B$253</definedName>
    <definedName name="DriveKey">Lookups!$B$255</definedName>
    <definedName name="DWLTM" localSheetId="48">'Allen Bradley MPL - Feed (1)'!$B$108</definedName>
    <definedName name="DWLTM" localSheetId="52">'Allen Bradley MPL - Feed (2)'!$B$108</definedName>
    <definedName name="DWLTM" localSheetId="28">'Sigma 5 Feed (1)'!$B$108</definedName>
    <definedName name="DWLTM" localSheetId="32">'Sigma 5 Feed (2)'!$B$108</definedName>
    <definedName name="DWLTM" localSheetId="36">'Sigma 5 Feed With Pull Thru (1)'!$B$108</definedName>
    <definedName name="DWLTM" localSheetId="44">'Sigma 5 Feed With Pull Thru (2)'!$B$108</definedName>
    <definedName name="DWLTM" localSheetId="31">Time!$B$6</definedName>
    <definedName name="DWLTM" localSheetId="35">Time2!$B$6</definedName>
    <definedName name="DWLTM" localSheetId="39">Time3!$B$6</definedName>
    <definedName name="DWLTM" localSheetId="47">Time4!$B$6</definedName>
    <definedName name="DWLTM" localSheetId="51">Time5!$B$6</definedName>
    <definedName name="DWLTM" localSheetId="55">Time6!$B$6</definedName>
    <definedName name="DWLTM_2" localSheetId="48">'Allen Bradley MPL - Feed (1)'!$B$109</definedName>
    <definedName name="DWLTM_2" localSheetId="52">'Allen Bradley MPL - Feed (2)'!$B$109</definedName>
    <definedName name="DWLTM_2" localSheetId="28">'Sigma 5 Feed (1)'!$B$109</definedName>
    <definedName name="DWLTM_2" localSheetId="32">'Sigma 5 Feed (2)'!$B$109</definedName>
    <definedName name="DWLTM_2" localSheetId="36">'Sigma 5 Feed With Pull Thru (1)'!$B$109</definedName>
    <definedName name="DWLTM_2" localSheetId="44">'Sigma 5 Feed With Pull Thru (2)'!$B$109</definedName>
    <definedName name="DWLTM_2" localSheetId="31">Time!$L$6</definedName>
    <definedName name="DWLTM_2" localSheetId="35">Time2!$L$6</definedName>
    <definedName name="DWLTM_2" localSheetId="39">Time3!$L$6</definedName>
    <definedName name="DWLTM_2" localSheetId="47">Time4!$L$6</definedName>
    <definedName name="DWLTM_2" localSheetId="51">Time5!$L$6</definedName>
    <definedName name="DWLTM_2" localSheetId="55">Time6!$L$6</definedName>
    <definedName name="Ec" localSheetId="48">'Allen Bradley MPL - Feed (1)'!$B$116</definedName>
    <definedName name="Ec" localSheetId="52">'Allen Bradley MPL - Feed (2)'!$B$116</definedName>
    <definedName name="Ec" localSheetId="29">Regen!$B$25</definedName>
    <definedName name="Ec" localSheetId="33">Regen2!$B$25</definedName>
    <definedName name="Ec" localSheetId="37">Regen3!$B$25</definedName>
    <definedName name="Ec" localSheetId="45">Regen4!$B$25</definedName>
    <definedName name="Ec" localSheetId="49">Regen5!$B$25</definedName>
    <definedName name="Ec" localSheetId="53">Regen6!$B$25</definedName>
    <definedName name="Ec" localSheetId="28">'Sigma 5 Feed (1)'!$B$116</definedName>
    <definedName name="Ec" localSheetId="32">'Sigma 5 Feed (2)'!$B$116</definedName>
    <definedName name="Ec" localSheetId="36">'Sigma 5 Feed With Pull Thru (1)'!$B$116</definedName>
    <definedName name="Ec" localSheetId="44">'Sigma 5 Feed With Pull Thru (2)'!$B$116</definedName>
    <definedName name="Ec" localSheetId="31">Time!$B$33</definedName>
    <definedName name="Ec" localSheetId="35">Time2!$B$33</definedName>
    <definedName name="Ec" localSheetId="39">Time3!$B$33</definedName>
    <definedName name="Ec" localSheetId="47">Time4!$B$33</definedName>
    <definedName name="Ec" localSheetId="51">Time5!$B$33</definedName>
    <definedName name="Ec" localSheetId="55">Time6!$B$33</definedName>
    <definedName name="EFFIC" localSheetId="43">#REF!</definedName>
    <definedName name="EFFIC" localSheetId="41">#REF!</definedName>
    <definedName name="Ek" localSheetId="48">'Allen Bradley MPL - Feed (1)'!$B$117</definedName>
    <definedName name="Ek" localSheetId="52">'Allen Bradley MPL - Feed (2)'!$B$117</definedName>
    <definedName name="Ek" localSheetId="29">Regen!$D$30</definedName>
    <definedName name="Ek" localSheetId="33">Regen2!$D$30</definedName>
    <definedName name="Ek" localSheetId="37">Regen3!$D$30</definedName>
    <definedName name="Ek" localSheetId="45">Regen4!$D$30</definedName>
    <definedName name="Ek" localSheetId="49">Regen5!$D$30</definedName>
    <definedName name="Ek" localSheetId="53">Regen6!$D$30</definedName>
    <definedName name="Ek" localSheetId="28">'Sigma 5 Feed (1)'!$B$117</definedName>
    <definedName name="Ek" localSheetId="32">'Sigma 5 Feed (2)'!$B$117</definedName>
    <definedName name="Ek" localSheetId="36">'Sigma 5 Feed With Pull Thru (1)'!$B$117</definedName>
    <definedName name="Ek" localSheetId="44">'Sigma 5 Feed With Pull Thru (2)'!$B$117</definedName>
    <definedName name="Ek" localSheetId="31">Time!$B$34</definedName>
    <definedName name="Ek" localSheetId="35">Time2!$B$34</definedName>
    <definedName name="Ek" localSheetId="39">Time3!$B$34</definedName>
    <definedName name="Ek" localSheetId="47">Time4!$B$34</definedName>
    <definedName name="Ek" localSheetId="51">Time5!$B$34</definedName>
    <definedName name="Ek" localSheetId="55">Time6!$B$34</definedName>
    <definedName name="Em" localSheetId="48">'Allen Bradley MPL - Feed (1)'!$B$118</definedName>
    <definedName name="Em" localSheetId="52">'Allen Bradley MPL - Feed (2)'!$B$118</definedName>
    <definedName name="Em" localSheetId="29">Regen!$D$17</definedName>
    <definedName name="Em" localSheetId="33">Regen2!$D$17</definedName>
    <definedName name="Em" localSheetId="37">Regen3!$D$17</definedName>
    <definedName name="Em" localSheetId="45">Regen4!$D$17</definedName>
    <definedName name="Em" localSheetId="49">Regen5!$D$17</definedName>
    <definedName name="Em" localSheetId="53">Regen6!$D$17</definedName>
    <definedName name="Em" localSheetId="28">'Sigma 5 Feed (1)'!$B$118</definedName>
    <definedName name="Em" localSheetId="32">'Sigma 5 Feed (2)'!$B$118</definedName>
    <definedName name="Em" localSheetId="36">'Sigma 5 Feed With Pull Thru (1)'!$B$118</definedName>
    <definedName name="Em" localSheetId="44">'Sigma 5 Feed With Pull Thru (2)'!$B$118</definedName>
    <definedName name="Em" localSheetId="31">Time!$B$35</definedName>
    <definedName name="Em" localSheetId="35">Time2!$B$35</definedName>
    <definedName name="Em" localSheetId="39">Time3!$B$35</definedName>
    <definedName name="Em" localSheetId="47">Time4!$B$35</definedName>
    <definedName name="Em" localSheetId="51">Time5!$B$35</definedName>
    <definedName name="Em" localSheetId="55">Time6!$B$35</definedName>
    <definedName name="Es" localSheetId="48">'Allen Bradley MPL - Feed (1)'!$B$119</definedName>
    <definedName name="Es" localSheetId="52">'Allen Bradley MPL - Feed (2)'!$B$119</definedName>
    <definedName name="Es" localSheetId="29">Regen!$H$10</definedName>
    <definedName name="Es" localSheetId="33">Regen2!$H$10</definedName>
    <definedName name="Es" localSheetId="37">Regen3!$H$10</definedName>
    <definedName name="Es" localSheetId="45">Regen4!$H$10</definedName>
    <definedName name="Es" localSheetId="49">Regen5!$H$10</definedName>
    <definedName name="Es" localSheetId="53">Regen6!$H$10</definedName>
    <definedName name="Es" localSheetId="28">'Sigma 5 Feed (1)'!$B$119</definedName>
    <definedName name="Es" localSheetId="32">'Sigma 5 Feed (2)'!$B$119</definedName>
    <definedName name="Es" localSheetId="36">'Sigma 5 Feed With Pull Thru (1)'!$B$119</definedName>
    <definedName name="Es" localSheetId="44">'Sigma 5 Feed With Pull Thru (2)'!$B$119</definedName>
    <definedName name="Es" localSheetId="31">Time!$B$36</definedName>
    <definedName name="Es" localSheetId="35">Time2!$B$36</definedName>
    <definedName name="Es" localSheetId="39">Time3!$B$36</definedName>
    <definedName name="Es" localSheetId="47">Time4!$B$36</definedName>
    <definedName name="Es" localSheetId="51">Time5!$B$36</definedName>
    <definedName name="Es" localSheetId="55">Time6!$B$36</definedName>
    <definedName name="FA" localSheetId="48">'Allen Bradley MPL - Feed (1)'!$E$19</definedName>
    <definedName name="FA" localSheetId="52">'Allen Bradley MPL - Feed (2)'!$E$19</definedName>
    <definedName name="FA" localSheetId="28">'Sigma 5 Feed (1)'!$E$19</definedName>
    <definedName name="FA" localSheetId="32">'Sigma 5 Feed (2)'!$E$19</definedName>
    <definedName name="FA" localSheetId="36">'Sigma 5 Feed With Pull Thru (1)'!$E$19</definedName>
    <definedName name="FA" localSheetId="44">'Sigma 5 Feed With Pull Thru (2)'!$E$19</definedName>
    <definedName name="FA" localSheetId="31">Time!$E$36</definedName>
    <definedName name="FA" localSheetId="35">Time2!$E$36</definedName>
    <definedName name="FA" localSheetId="39">Time3!$E$36</definedName>
    <definedName name="FA" localSheetId="47">Time4!$E$36</definedName>
    <definedName name="FA" localSheetId="51">Time5!$E$36</definedName>
    <definedName name="FA" localSheetId="55">Time6!$E$36</definedName>
    <definedName name="FA_2" localSheetId="48">'Allen Bradley MPL - Feed (1)'!$E$20</definedName>
    <definedName name="FA_2" localSheetId="52">'Allen Bradley MPL - Feed (2)'!$E$20</definedName>
    <definedName name="FA_2" localSheetId="28">'Sigma 5 Feed (1)'!$E$20</definedName>
    <definedName name="FA_2" localSheetId="32">'Sigma 5 Feed (2)'!$E$20</definedName>
    <definedName name="FA_2" localSheetId="36">'Sigma 5 Feed With Pull Thru (1)'!$E$20</definedName>
    <definedName name="FA_2" localSheetId="44">'Sigma 5 Feed With Pull Thru (2)'!$E$20</definedName>
    <definedName name="FA_2" localSheetId="31">Time!$E$37</definedName>
    <definedName name="FA_2" localSheetId="35">Time2!$E$37</definedName>
    <definedName name="FA_2" localSheetId="39">Time3!$E$37</definedName>
    <definedName name="FA_2" localSheetId="47">Time4!$E$37</definedName>
    <definedName name="FA_2" localSheetId="51">Time5!$E$37</definedName>
    <definedName name="FA_2" localSheetId="55">Time6!$E$37</definedName>
    <definedName name="FeedControls">'Material Specifications'!$B$29</definedName>
    <definedName name="FeedDirection" localSheetId="1">RFQ!$H$99</definedName>
    <definedName name="FeedDirection">'Material Specifications'!$B$26</definedName>
    <definedName name="fpm" localSheetId="43">#REF!</definedName>
    <definedName name="fpm" localSheetId="41">#REF!</definedName>
    <definedName name="fpm" localSheetId="12">'Str. Utility (1)'!$B$22</definedName>
    <definedName name="fpm" localSheetId="13">'Str. Utility (2)'!$B$22</definedName>
    <definedName name="fpm" localSheetId="14">'Str. Utility (3)'!$B$22</definedName>
    <definedName name="fpm" localSheetId="15">'Str. Utility (4)'!$B$22</definedName>
    <definedName name="FPMBuffer">Lookups!$B$245</definedName>
    <definedName name="FPMRange" localSheetId="1">RFQ!$P$68:$P$70</definedName>
    <definedName name="friction" localSheetId="7">'TD,DB,HD (1)'!$J$14</definedName>
    <definedName name="friction" localSheetId="8">'TD,DB,HD (2)'!$J$12</definedName>
    <definedName name="friction" localSheetId="9">'TD,DB,HD (3)'!$J$12</definedName>
    <definedName name="friction" localSheetId="10">'TD,DB,HD (4)'!$J$12</definedName>
    <definedName name="FRICTIONEMPTY" localSheetId="11">'Reel Drive'!$B$30</definedName>
    <definedName name="FRICTIONFULL" localSheetId="11">'Reel Drive'!$C$30</definedName>
    <definedName name="FRICTQ" localSheetId="48">'Allen Bradley MPL - Feed (1)'!$E$24</definedName>
    <definedName name="FRICTQ" localSheetId="52">'Allen Bradley MPL - Feed (2)'!$E$24</definedName>
    <definedName name="FRICTQ" localSheetId="28">'Sigma 5 Feed (1)'!$E$24</definedName>
    <definedName name="FRICTQ" localSheetId="32">'Sigma 5 Feed (2)'!$E$24</definedName>
    <definedName name="FRICTQ" localSheetId="36">'Sigma 5 Feed With Pull Thru (1)'!$E$24</definedName>
    <definedName name="FRICTQ" localSheetId="44">'Sigma 5 Feed With Pull Thru (2)'!$E$24</definedName>
    <definedName name="FRICTQ" localSheetId="31">Time!$E$38</definedName>
    <definedName name="FRICTQ" localSheetId="35">Time2!$E$38</definedName>
    <definedName name="FRICTQ" localSheetId="39">Time3!$E$38</definedName>
    <definedName name="FRICTQ" localSheetId="47">Time4!$E$38</definedName>
    <definedName name="FRICTQ" localSheetId="51">Time5!$E$38</definedName>
    <definedName name="FRICTQ" localSheetId="55">Time6!$E$38</definedName>
    <definedName name="FRONTBRGDIA" localSheetId="11">'Reel Drive'!$E$12</definedName>
    <definedName name="FTBRGDIA" localSheetId="43">#REF!</definedName>
    <definedName name="FTBRGDIA" localSheetId="41">#REF!</definedName>
    <definedName name="holddown_assy" localSheetId="7">'TD,DB,HD (1)'!$F$19</definedName>
    <definedName name="holddown_assy" localSheetId="8">'TD,DB,HD (2)'!$F$17</definedName>
    <definedName name="holddown_assy" localSheetId="9">'TD,DB,HD (3)'!$F$17</definedName>
    <definedName name="holddown_assy" localSheetId="10">'TD,DB,HD (4)'!$F$17</definedName>
    <definedName name="holddown_cylinder" localSheetId="7">'TD,DB,HD (1)'!$G$19</definedName>
    <definedName name="holddown_cylinder" localSheetId="8">'TD,DB,HD (2)'!$G$17</definedName>
    <definedName name="holddown_cylinder" localSheetId="9">'TD,DB,HD (3)'!$G$17</definedName>
    <definedName name="holddown_cylinder" localSheetId="10">'TD,DB,HD (4)'!$G$17</definedName>
    <definedName name="holddown_pressure" localSheetId="7">'TD,DB,HD (1)'!$F$20</definedName>
    <definedName name="holddown_pressure" localSheetId="8">'TD,DB,HD (2)'!$F$18</definedName>
    <definedName name="holddown_pressure" localSheetId="9">'TD,DB,HD (3)'!$F$18</definedName>
    <definedName name="holddown_pressure" localSheetId="10">'TD,DB,HD (4)'!$F$18</definedName>
    <definedName name="HoldDownCylinders">_xlfn.ANCHORARRAY(Lookups!$N$259)</definedName>
    <definedName name="HolddownFamily">Lookups!$B$254</definedName>
    <definedName name="HolddownMatrixKey">Lookups!$B$256</definedName>
    <definedName name="HoldDownModels">_xlfn.ANCHORARRAY(Lookups!$K$259)</definedName>
    <definedName name="Horsepower" localSheetId="11">'Reel Drive'!$B$9</definedName>
    <definedName name="HP" localSheetId="43">#REF!</definedName>
    <definedName name="HP" localSheetId="41">#REF!</definedName>
    <definedName name="HP" localSheetId="12">'Str. Utility (1)'!$B$20</definedName>
    <definedName name="HP" localSheetId="13">'Str. Utility (2)'!$B$20</definedName>
    <definedName name="HP" localSheetId="14">'Str. Utility (3)'!$B$20</definedName>
    <definedName name="HP" localSheetId="15">'Str. Utility (4)'!$B$20</definedName>
    <definedName name="HPEMPTY" localSheetId="11">'Reel Drive'!$B$36</definedName>
    <definedName name="HPFULL" localSheetId="11">'Reel Drive'!$C$36</definedName>
    <definedName name="hyd_press" localSheetId="43">'TD,DB,HD (1)'!#REF!</definedName>
    <definedName name="hyd_press" localSheetId="41">'TD,DB,HD (1)'!#REF!</definedName>
    <definedName name="hydthd" localSheetId="7">'TD,DB,HD (1)'!$B$20</definedName>
    <definedName name="hydthd" localSheetId="8">'TD,DB,HD (2)'!$B$18</definedName>
    <definedName name="hydthd" localSheetId="9">'TD,DB,HD (3)'!$B$18</definedName>
    <definedName name="hydthd" localSheetId="10">'TD,DB,HD (4)'!$B$18</definedName>
    <definedName name="ID" localSheetId="43">#REF!</definedName>
    <definedName name="ID" localSheetId="41">#REF!</definedName>
    <definedName name="INCR" localSheetId="48">'Allen Bradley MPL - Feed (1)'!$E$18</definedName>
    <definedName name="INCR" localSheetId="52">'Allen Bradley MPL - Feed (2)'!$E$18</definedName>
    <definedName name="INCR" localSheetId="28">'Sigma 5 Feed (1)'!$E$18</definedName>
    <definedName name="INCR" localSheetId="32">'Sigma 5 Feed (2)'!$E$18</definedName>
    <definedName name="INCR" localSheetId="36">'Sigma 5 Feed With Pull Thru (1)'!$E$18</definedName>
    <definedName name="INCR" localSheetId="44">'Sigma 5 Feed With Pull Thru (2)'!$E$18</definedName>
    <definedName name="INCR" localSheetId="31">Time!$E$39</definedName>
    <definedName name="INCR" localSheetId="35">Time2!$E$39</definedName>
    <definedName name="INCR" localSheetId="39">Time3!$E$39</definedName>
    <definedName name="INCR" localSheetId="47">Time4!$E$39</definedName>
    <definedName name="INCR" localSheetId="51">Time5!$E$39</definedName>
    <definedName name="INCR" localSheetId="55">Time6!$E$39</definedName>
    <definedName name="jack_force" localSheetId="43">#REF!</definedName>
    <definedName name="jack_force" localSheetId="41">#REF!</definedName>
    <definedName name="jack_force" localSheetId="12">'Str. Utility (1)'!$B$28</definedName>
    <definedName name="jack_force" localSheetId="13">'Str. Utility (2)'!$B$28</definedName>
    <definedName name="jack_force" localSheetId="14">'Str. Utility (3)'!$B$28</definedName>
    <definedName name="jack_force" localSheetId="15">'Str. Utility (4)'!$B$28</definedName>
    <definedName name="K_CONST" localSheetId="36">'Sigma 5 Feed With Pull Thru (1)'!$I$15</definedName>
    <definedName name="K_CONST" localSheetId="44">'Sigma 5 Feed With Pull Thru (2)'!$I$15</definedName>
    <definedName name="LightGauge">'Material Specifications'!$B$37</definedName>
    <definedName name="LineApplication" localSheetId="1">RFQ!$G$20</definedName>
    <definedName name="LineType" localSheetId="1">RFQ!$G$21</definedName>
    <definedName name="ListBrakeType">Lookups!$D$100:$D$104</definedName>
    <definedName name="ListControls">Lookups!$E$33:$E$41</definedName>
    <definedName name="ListHolddown">Lookups!$H$85:$H$89</definedName>
    <definedName name="ListLineApplication" localSheetId="1">RFQ!$AF$17:$AH$17</definedName>
    <definedName name="ListLineType" localSheetId="1">INDEX((tblPressFeed[], tblCTL[], tblStandalone[]),,,MATCH(RFQ!$G$20, RFQ!ListLineApplication, 0))</definedName>
    <definedName name="ListMaterial">Lookups!$G$47:$G$56</definedName>
    <definedName name="ListPullThruChoice" localSheetId="1">_xlfn.ANCHORARRAY(RFQ!$AE$12)</definedName>
    <definedName name="ListStrBackbend">Lookups!$F$129:$F$131</definedName>
    <definedName name="ListTypeOfLine">Lookups!$M$5:$M$21</definedName>
    <definedName name="LookupABFeed">Lookups!$A$200:$P$208</definedName>
    <definedName name="LookupApplication">Lookups!$A$28:$A$29</definedName>
    <definedName name="LookupBrakeQty">Lookups!$A$107:$A$109</definedName>
    <definedName name="LookupBrakeType">Lookups!$A$100:$B$104</definedName>
    <definedName name="LookupControls">Lookups!$A$33:$B$41</definedName>
    <definedName name="LookupFeedType">Lookups!$A$224:$T$226</definedName>
    <definedName name="LookupHolddown">Lookups!$A$85:$B$89</definedName>
    <definedName name="LookupInertia" localSheetId="48">'Allen Bradley MPL - Feed (1)'!$A$64:$B$72</definedName>
    <definedName name="LookupInertia" localSheetId="52">'Allen Bradley MPL - Feed (2)'!$A$64:$B$72</definedName>
    <definedName name="LookupInertia" localSheetId="28">'Sigma 5 Feed (1)'!$A$65:$B$76</definedName>
    <definedName name="LookupInertia" localSheetId="32">'Sigma 5 Feed (2)'!$A$65:$B$76</definedName>
    <definedName name="LookupInertia" localSheetId="36">'Sigma 5 Feed With Pull Thru (1)'!$A$64:$B$80</definedName>
    <definedName name="LookupInertia" localSheetId="44">'Sigma 5 Feed With Pull Thru (2)'!$A$64:$B$80</definedName>
    <definedName name="LookupMaterial">Lookups!$A$47:$D$57</definedName>
    <definedName name="LookupPressRequired" localSheetId="7">'TD,DB,HD (1)'!$B$62:$E$66</definedName>
    <definedName name="LookupPressRequired" localSheetId="8">'TD,DB,HD (2)'!$B$58:$E$62</definedName>
    <definedName name="LookupPressRequired" localSheetId="9">'TD,DB,HD (3)'!$B$58:$E$62</definedName>
    <definedName name="LookupPressRequired" localSheetId="10">'TD,DB,HD (4)'!$B$58:$E$62</definedName>
    <definedName name="LookupPTStrRollers">Lookups!$A$134:$A$135</definedName>
    <definedName name="LookupReelDrive">Lookups!$A$233:$F$242</definedName>
    <definedName name="LookupReels">Lookups!$A$62:$B$71</definedName>
    <definedName name="LookupSigma5Feed">Lookups!$A$160:$S$171</definedName>
    <definedName name="LookupSigma5FeedPT">Lookups!$A$178:$R$194</definedName>
    <definedName name="LookupSPinch">Lookups!$C$140:$C$141</definedName>
    <definedName name="LookupStrBackbend">Lookups!$C$129:$D$131</definedName>
    <definedName name="LookupStrModel">Lookups!$A$114:$N$124</definedName>
    <definedName name="LookupStrRollers">Lookups!$A$129:$A$131</definedName>
    <definedName name="LookupTypeOfLine">Lookups!$A$5:$I$21</definedName>
    <definedName name="LookupYesNo">Lookups!$A$140:$A$141</definedName>
    <definedName name="LookupYN">Lookups!$B$140:$B$141</definedName>
    <definedName name="LOOPTQ" localSheetId="48">'Allen Bradley MPL - Feed (1)'!$E$25</definedName>
    <definedName name="LOOPTQ" localSheetId="52">'Allen Bradley MPL - Feed (2)'!$E$25</definedName>
    <definedName name="LOOPTQ" localSheetId="28">'Sigma 5 Feed (1)'!$E$25</definedName>
    <definedName name="LOOPTQ" localSheetId="32">'Sigma 5 Feed (2)'!$E$25</definedName>
    <definedName name="LOOPTQ" localSheetId="36">'Sigma 5 Feed With Pull Thru (1)'!$E$25</definedName>
    <definedName name="LOOPTQ" localSheetId="44">'Sigma 5 Feed With Pull Thru (2)'!$E$25</definedName>
    <definedName name="LOOPTQ" localSheetId="31">Time!$E$40</definedName>
    <definedName name="LOOPTQ" localSheetId="35">Time2!$E$40</definedName>
    <definedName name="LOOPTQ" localSheetId="39">Time3!$E$40</definedName>
    <definedName name="LOOPTQ" localSheetId="47">Time4!$E$40</definedName>
    <definedName name="LOOPTQ" localSheetId="51">Time5!$E$40</definedName>
    <definedName name="LOOPTQ" localSheetId="55">Time6!$E$40</definedName>
    <definedName name="LostWatts" localSheetId="48">'Allen Bradley MPL - Feed (1)'!$B$120</definedName>
    <definedName name="LostWatts" localSheetId="52">'Allen Bradley MPL - Feed (2)'!$B$120</definedName>
    <definedName name="LostWatts" localSheetId="29">Regen!$C$17</definedName>
    <definedName name="LostWatts" localSheetId="33">Regen2!$C$17</definedName>
    <definedName name="LostWatts" localSheetId="37">Regen3!$C$17</definedName>
    <definedName name="LostWatts" localSheetId="45">Regen4!$C$17</definedName>
    <definedName name="LostWatts" localSheetId="49">Regen5!$C$17</definedName>
    <definedName name="LostWatts" localSheetId="53">Regen6!$C$17</definedName>
    <definedName name="LostWatts" localSheetId="28">'Sigma 5 Feed (1)'!$B$120</definedName>
    <definedName name="LostWatts" localSheetId="32">'Sigma 5 Feed (2)'!$B$120</definedName>
    <definedName name="LostWatts" localSheetId="36">'Sigma 5 Feed With Pull Thru (1)'!$B$120</definedName>
    <definedName name="LostWatts" localSheetId="44">'Sigma 5 Feed With Pull Thru (2)'!$B$120</definedName>
    <definedName name="LostWatts" localSheetId="31">Time!$B$37</definedName>
    <definedName name="LostWatts" localSheetId="35">Time2!$B$37</definedName>
    <definedName name="LostWatts" localSheetId="39">Time3!$B$37</definedName>
    <definedName name="LostWatts" localSheetId="47">Time4!$B$37</definedName>
    <definedName name="LostWatts" localSheetId="51">Time5!$B$37</definedName>
    <definedName name="LostWatts" localSheetId="55">Time6!$B$37</definedName>
    <definedName name="M" localSheetId="7">'TD,DB,HD (1)'!$O$51</definedName>
    <definedName name="M" localSheetId="8">'TD,DB,HD (2)'!$O$47</definedName>
    <definedName name="M" localSheetId="9">'TD,DB,HD (3)'!$O$47</definedName>
    <definedName name="M" localSheetId="10">'TD,DB,HD (4)'!$O$47</definedName>
    <definedName name="MacrosEnabled">Lookups!$B$2</definedName>
    <definedName name="MANDIA" localSheetId="11">'Reel Drive'!$B$14</definedName>
    <definedName name="MANINT" localSheetId="11">'Reel Drive'!$G$14</definedName>
    <definedName name="MANLEN" localSheetId="11">'Reel Drive'!$C$14</definedName>
    <definedName name="MANMAXRPM" localSheetId="43">#REF!</definedName>
    <definedName name="MANMAXRPM" localSheetId="41">#REF!</definedName>
    <definedName name="MANREFLI" localSheetId="11">'Reel Drive'!$H$14</definedName>
    <definedName name="MANWIEGHT" localSheetId="11">'Reel Drive'!$F$14</definedName>
    <definedName name="Mat_1" localSheetId="1">RFQ!$O$38</definedName>
    <definedName name="Mat_2" localSheetId="1">RFQ!$O$41</definedName>
    <definedName name="Mat_3" localSheetId="1">RFQ!$O$44</definedName>
    <definedName name="Mat_4" localSheetId="1">RFQ!$O$47</definedName>
    <definedName name="MATCH" localSheetId="48">'Allen Bradley MPL - Feed (1)'!$H$22</definedName>
    <definedName name="MATCH" localSheetId="52">'Allen Bradley MPL - Feed (2)'!$H$22</definedName>
    <definedName name="MATCH" localSheetId="29">Regen!$E$42</definedName>
    <definedName name="MATCH" localSheetId="33">Regen2!$E$42</definedName>
    <definedName name="MATCH" localSheetId="37">Regen3!$E$42</definedName>
    <definedName name="MATCH" localSheetId="45">Regen4!$E$42</definedName>
    <definedName name="MATCH" localSheetId="49">Regen5!$E$42</definedName>
    <definedName name="MATCH" localSheetId="53">Regen6!$E$42</definedName>
    <definedName name="MATCH" localSheetId="28">'Sigma 5 Feed (1)'!$H$22</definedName>
    <definedName name="MATCH" localSheetId="32">'Sigma 5 Feed (2)'!$H$22</definedName>
    <definedName name="MATCH" localSheetId="36">'Sigma 5 Feed With Pull Thru (1)'!$H$19</definedName>
    <definedName name="MATCH" localSheetId="44">'Sigma 5 Feed With Pull Thru (2)'!$H$19</definedName>
    <definedName name="MATCH" localSheetId="31">Time!$E$41</definedName>
    <definedName name="MATCH" localSheetId="35">Time2!$E$41</definedName>
    <definedName name="MATCH" localSheetId="39">Time3!$E$41</definedName>
    <definedName name="MATCH" localSheetId="47">Time4!$E$41</definedName>
    <definedName name="MATCH" localSheetId="51">Time5!$E$41</definedName>
    <definedName name="MATCH" localSheetId="55">Time6!$E$41</definedName>
    <definedName name="MatDensity" localSheetId="48">'Allen Bradley MPL - Feed (1)'!$E$15</definedName>
    <definedName name="MatDensity" localSheetId="52">'Allen Bradley MPL - Feed (2)'!$E$15</definedName>
    <definedName name="MatDensity" localSheetId="30">Inertia!$B$52</definedName>
    <definedName name="MatDensity" localSheetId="34">Inertia2!$B$52</definedName>
    <definedName name="MatDensity" localSheetId="38">Inertia3!$B$52</definedName>
    <definedName name="MatDensity" localSheetId="46">Inertia4!$B$52</definedName>
    <definedName name="MatDensity" localSheetId="50">Inertia5!$B$52</definedName>
    <definedName name="MatDensity" localSheetId="54">Inertia6!$B$52</definedName>
    <definedName name="MatDensity" localSheetId="28">'Sigma 5 Feed (1)'!$E$15</definedName>
    <definedName name="MatDensity" localSheetId="32">'Sigma 5 Feed (2)'!$E$15</definedName>
    <definedName name="MatDensity" localSheetId="36">'Sigma 5 Feed With Pull Thru (1)'!$E$15</definedName>
    <definedName name="MatDensity" localSheetId="44">'Sigma 5 Feed With Pull Thru (2)'!$E$15</definedName>
    <definedName name="MatDensity" localSheetId="31">Time!$E$65</definedName>
    <definedName name="MatDensity" localSheetId="35">Time2!$E$65</definedName>
    <definedName name="MatDensity" localSheetId="39">Time3!$E$68</definedName>
    <definedName name="MatDensity" localSheetId="47">Time4!$E$68</definedName>
    <definedName name="MatDensity" localSheetId="51">Time5!$E$65</definedName>
    <definedName name="MatDensity" localSheetId="55">Time6!$E$65</definedName>
    <definedName name="material" localSheetId="48">'Allen Bradley MPL - Feed (1)'!$E$12</definedName>
    <definedName name="material" localSheetId="52">'Allen Bradley MPL - Feed (2)'!$E$12</definedName>
    <definedName name="material" localSheetId="28">'Sigma 5 Feed (1)'!$E$12</definedName>
    <definedName name="material" localSheetId="32">'Sigma 5 Feed (2)'!$E$12</definedName>
    <definedName name="material" localSheetId="36">'Sigma 5 Feed With Pull Thru (1)'!$H$12</definedName>
    <definedName name="material" localSheetId="44">'Sigma 5 Feed With Pull Thru (2)'!$H$12</definedName>
    <definedName name="material" localSheetId="12">'Str. Utility (1)'!$B$18</definedName>
    <definedName name="material" localSheetId="13">'Str. Utility (2)'!$B$18</definedName>
    <definedName name="material" localSheetId="14">'Str. Utility (3)'!$B$18</definedName>
    <definedName name="material" localSheetId="15">'Str. Utility (4)'!$B$18</definedName>
    <definedName name="material" localSheetId="7">'TD,DB,HD (1)'!$B$11</definedName>
    <definedName name="material" localSheetId="8">'TD,DB,HD (2)'!$B$9</definedName>
    <definedName name="material" localSheetId="9">'TD,DB,HD (3)'!$B$9</definedName>
    <definedName name="material" localSheetId="10">'TD,DB,HD (4)'!$B$9</definedName>
    <definedName name="material" localSheetId="31">Time!$E$42</definedName>
    <definedName name="material" localSheetId="35">Time2!$E$42</definedName>
    <definedName name="material" localSheetId="39">Time3!$E$42</definedName>
    <definedName name="material" localSheetId="47">Time4!$E$42</definedName>
    <definedName name="material" localSheetId="51">Time5!$E$42</definedName>
    <definedName name="material" localSheetId="55">Time6!$E$42</definedName>
    <definedName name="Material_1">'Material Specifications'!$B$14</definedName>
    <definedName name="Material_2">'Material Specifications'!$C$14</definedName>
    <definedName name="Material_3">'Material Specifications'!$D$14</definedName>
    <definedName name="Material_4">'Material Specifications'!$E$14</definedName>
    <definedName name="MatLnFLT" localSheetId="48">'Allen Bradley MPL - Feed (1)'!$D$15</definedName>
    <definedName name="MatLnFLT" localSheetId="52">'Allen Bradley MPL - Feed (2)'!$D$15</definedName>
    <definedName name="MatLnFLT" localSheetId="30">Inertia!$B$51</definedName>
    <definedName name="MatLnFLT" localSheetId="34">Inertia2!$B$51</definedName>
    <definedName name="MatLnFLT" localSheetId="38">Inertia3!$B$51</definedName>
    <definedName name="MatLnFLT" localSheetId="46">Inertia4!$B$51</definedName>
    <definedName name="MatLnFLT" localSheetId="50">Inertia5!$B$51</definedName>
    <definedName name="MatLnFLT" localSheetId="54">Inertia6!$B$51</definedName>
    <definedName name="MatLnFLT" localSheetId="28">'Sigma 5 Feed (1)'!$D$15</definedName>
    <definedName name="MatLnFLT" localSheetId="32">'Sigma 5 Feed (2)'!$D$15</definedName>
    <definedName name="MatLnFLT" localSheetId="36">'Sigma 5 Feed With Pull Thru (1)'!$D$15</definedName>
    <definedName name="MatLnFLT" localSheetId="44">'Sigma 5 Feed With Pull Thru (2)'!$D$15</definedName>
    <definedName name="MatLnFLT" localSheetId="31">Time!$E$64</definedName>
    <definedName name="MatLnFLT" localSheetId="35">Time2!$E$64</definedName>
    <definedName name="MatLnFLT" localSheetId="39">Time3!$E$67</definedName>
    <definedName name="MatLnFLT" localSheetId="47">Time4!$E$67</definedName>
    <definedName name="MatLnFLT" localSheetId="51">Time5!$E$64</definedName>
    <definedName name="MatLnFLT" localSheetId="55">Time6!$E$64</definedName>
    <definedName name="MatLoop" localSheetId="48">'Allen Bradley MPL - Feed (1)'!$F$15</definedName>
    <definedName name="MatLoop" localSheetId="52">'Allen Bradley MPL - Feed (2)'!$F$15</definedName>
    <definedName name="MatLoop" localSheetId="30">Inertia!$B$53</definedName>
    <definedName name="MatLoop" localSheetId="34">Inertia2!$B$53</definedName>
    <definedName name="MatLoop" localSheetId="38">Inertia3!$B$53</definedName>
    <definedName name="MatLoop" localSheetId="46">Inertia4!$B$53</definedName>
    <definedName name="MatLoop" localSheetId="50">Inertia5!$B$53</definedName>
    <definedName name="MatLoop" localSheetId="54">Inertia6!$B$53</definedName>
    <definedName name="MatLoop" localSheetId="28">'Sigma 5 Feed (1)'!$F$15</definedName>
    <definedName name="MatLoop" localSheetId="32">'Sigma 5 Feed (2)'!$F$15</definedName>
    <definedName name="MatLoop" localSheetId="36">'Sigma 5 Feed With Pull Thru (1)'!$F$15</definedName>
    <definedName name="MatLoop" localSheetId="44">'Sigma 5 Feed With Pull Thru (2)'!$F$15</definedName>
    <definedName name="MatLoop" localSheetId="31">Time!$E$66</definedName>
    <definedName name="MatLoop" localSheetId="35">Time2!$E$66</definedName>
    <definedName name="MatLoop" localSheetId="39">Time3!$E$69</definedName>
    <definedName name="MatLoop" localSheetId="47">Time4!$E$69</definedName>
    <definedName name="MatLoop" localSheetId="51">Time5!$E$66</definedName>
    <definedName name="MatLoop" localSheetId="55">Time6!$E$66</definedName>
    <definedName name="MatThickness" localSheetId="48">'Allen Bradley MPL - Feed (1)'!$C$15</definedName>
    <definedName name="MatThickness" localSheetId="52">'Allen Bradley MPL - Feed (2)'!$C$15</definedName>
    <definedName name="MatThickness" localSheetId="30">Inertia!$B$50</definedName>
    <definedName name="MatThickness" localSheetId="34">Inertia2!$B$50</definedName>
    <definedName name="MatThickness" localSheetId="38">Inertia3!$B$50</definedName>
    <definedName name="MatThickness" localSheetId="46">Inertia4!$B$50</definedName>
    <definedName name="MatThickness" localSheetId="50">Inertia5!$B$50</definedName>
    <definedName name="MatThickness" localSheetId="54">Inertia6!$B$50</definedName>
    <definedName name="MatThickness" localSheetId="28">'Sigma 5 Feed (1)'!$C$15</definedName>
    <definedName name="MatThickness" localSheetId="32">'Sigma 5 Feed (2)'!$C$15</definedName>
    <definedName name="MatThickness" localSheetId="36">'Sigma 5 Feed With Pull Thru (1)'!$C$15</definedName>
    <definedName name="MatThickness" localSheetId="44">'Sigma 5 Feed With Pull Thru (2)'!$C$15</definedName>
    <definedName name="MatThickness" localSheetId="31">Time!$E$63</definedName>
    <definedName name="MatThickness" localSheetId="35">Time2!$E$63</definedName>
    <definedName name="MatThickness" localSheetId="39">Time3!$E$66</definedName>
    <definedName name="MatThickness" localSheetId="47">Time4!$E$66</definedName>
    <definedName name="MatThickness" localSheetId="51">Time5!$E$63</definedName>
    <definedName name="MatThickness" localSheetId="55">Time6!$E$63</definedName>
    <definedName name="MatWidth" localSheetId="48">'Allen Bradley MPL - Feed (1)'!$B$15</definedName>
    <definedName name="MatWidth" localSheetId="52">'Allen Bradley MPL - Feed (2)'!$B$15</definedName>
    <definedName name="MatWidth" localSheetId="30">Inertia!$B$49</definedName>
    <definedName name="MatWidth" localSheetId="34">Inertia2!$B$49</definedName>
    <definedName name="MatWidth" localSheetId="38">Inertia3!$B$49</definedName>
    <definedName name="MatWidth" localSheetId="46">Inertia4!$B$49</definedName>
    <definedName name="MatWidth" localSheetId="50">Inertia5!$B$49</definedName>
    <definedName name="MatWidth" localSheetId="54">Inertia6!$B$49</definedName>
    <definedName name="MatWidth" localSheetId="28">'Sigma 5 Feed (1)'!$B$15</definedName>
    <definedName name="MatWidth" localSheetId="32">'Sigma 5 Feed (2)'!$B$15</definedName>
    <definedName name="MATWIDTH" localSheetId="36">'Sigma 5 Feed With Pull Thru (1)'!$B$15</definedName>
    <definedName name="MATWIDTH" localSheetId="44">'Sigma 5 Feed With Pull Thru (2)'!$B$15</definedName>
    <definedName name="MatWidth" localSheetId="31">Time!$E$62</definedName>
    <definedName name="MatWidth" localSheetId="35">Time2!$E$62</definedName>
    <definedName name="MatWidth" localSheetId="39">Time3!$E$65</definedName>
    <definedName name="MatWidth" localSheetId="47">Time4!$E$65</definedName>
    <definedName name="MatWidth" localSheetId="51">Time5!$E$62</definedName>
    <definedName name="MatWidth" localSheetId="55">Time6!$E$62</definedName>
    <definedName name="MaxCoilOD" localSheetId="1">RFQ!$G$27</definedName>
    <definedName name="MaxCoilWeight" localSheetId="1">RFQ!$T$26</definedName>
    <definedName name="MaxCoilWidth" localSheetId="1">RFQ!$G$25</definedName>
    <definedName name="MAXFRICMAN" localSheetId="43">#REF!</definedName>
    <definedName name="MAXFRICMAN" localSheetId="41">#REF!</definedName>
    <definedName name="MAXFTLOAD" localSheetId="43">#REF!</definedName>
    <definedName name="MAXFTLOAD" localSheetId="41">#REF!</definedName>
    <definedName name="MAXINT" localSheetId="43">#REF!</definedName>
    <definedName name="MAXINT" localSheetId="41">#REF!</definedName>
    <definedName name="MAXREARLOAD" localSheetId="43">#REF!</definedName>
    <definedName name="MAXREARLOAD" localSheetId="41">#REF!</definedName>
    <definedName name="MAXREFLI" localSheetId="43">#REF!</definedName>
    <definedName name="MAXREFLI" localSheetId="41">#REF!</definedName>
    <definedName name="MinCoilWidth" localSheetId="1">RFQ!$G$26</definedName>
    <definedName name="MINFTLOAD" localSheetId="43">#REF!</definedName>
    <definedName name="MINFTLOAD" localSheetId="41">#REF!</definedName>
    <definedName name="MinHoldDownConfirmed">'TD,DB,HD (1)'!$E$31</definedName>
    <definedName name="MinimumThickness">MIN(Thickness_1,Thickness_2,Thickness_3,Thickness_4)</definedName>
    <definedName name="MinimumYieldStrength">MIN(YieldStrength_1,YieldStrength_2,YieldStrength_3,YieldStrength_4)</definedName>
    <definedName name="MININT" localSheetId="43">#REF!</definedName>
    <definedName name="MININT" localSheetId="41">#REF!</definedName>
    <definedName name="MINLN" localSheetId="48">'Allen Bradley MPL - Feed (1)'!$E$17</definedName>
    <definedName name="MINLN" localSheetId="52">'Allen Bradley MPL - Feed (2)'!$E$17</definedName>
    <definedName name="MINLN" localSheetId="28">'Sigma 5 Feed (1)'!$E$17</definedName>
    <definedName name="MINLN" localSheetId="32">'Sigma 5 Feed (2)'!$E$17</definedName>
    <definedName name="MINLN" localSheetId="36">'Sigma 5 Feed With Pull Thru (1)'!$E$17</definedName>
    <definedName name="MINLN" localSheetId="44">'Sigma 5 Feed With Pull Thru (2)'!$E$17</definedName>
    <definedName name="MINLN" localSheetId="31">Time!$E$43</definedName>
    <definedName name="MINLN" localSheetId="35">Time2!$E$43</definedName>
    <definedName name="MINLN" localSheetId="39">Time3!$E$43</definedName>
    <definedName name="MINLN" localSheetId="47">Time4!$E$43</definedName>
    <definedName name="MINLN" localSheetId="51">Time5!$E$43</definedName>
    <definedName name="MINLN" localSheetId="55">Time6!$E$43</definedName>
    <definedName name="MINREARLOAD" localSheetId="43">#REF!</definedName>
    <definedName name="MINREARLOAD" localSheetId="41">#REF!</definedName>
    <definedName name="MINREFLI" localSheetId="43">#REF!</definedName>
    <definedName name="MINREFLI" localSheetId="41">#REF!</definedName>
    <definedName name="MINT" localSheetId="48">'Allen Bradley MPL - Feed (1)'!$B$23</definedName>
    <definedName name="MINT" localSheetId="52">'Allen Bradley MPL - Feed (2)'!$B$23</definedName>
    <definedName name="MINT" localSheetId="29">Regen!$E$43</definedName>
    <definedName name="MINT" localSheetId="33">Regen2!$E$43</definedName>
    <definedName name="MINT" localSheetId="37">Regen3!$E$43</definedName>
    <definedName name="MINT" localSheetId="45">Regen4!$E$43</definedName>
    <definedName name="MINT" localSheetId="49">Regen5!$E$43</definedName>
    <definedName name="MINT" localSheetId="53">Regen6!$E$43</definedName>
    <definedName name="MINT" localSheetId="28">'Sigma 5 Feed (1)'!$B$23</definedName>
    <definedName name="MINT" localSheetId="32">'Sigma 5 Feed (2)'!$B$23</definedName>
    <definedName name="MINT" localSheetId="36">'Sigma 5 Feed With Pull Thru (1)'!$B$23</definedName>
    <definedName name="MINT" localSheetId="44">'Sigma 5 Feed With Pull Thru (2)'!$B$23</definedName>
    <definedName name="MINT" localSheetId="31">Time!$E$44</definedName>
    <definedName name="MINT" localSheetId="35">Time2!$E$44</definedName>
    <definedName name="MINT" localSheetId="39">Time3!$E$44</definedName>
    <definedName name="MINT" localSheetId="47">Time4!$E$44</definedName>
    <definedName name="MINT" localSheetId="51">Time5!$E$44</definedName>
    <definedName name="MINT" localSheetId="55">Time6!$E$44</definedName>
    <definedName name="mod" localSheetId="12">'Str. Utility (1)'!$B$30</definedName>
    <definedName name="mod" localSheetId="13">'Str. Utility (2)'!$B$30</definedName>
    <definedName name="mod" localSheetId="14">'Str. Utility (3)'!$B$30</definedName>
    <definedName name="mod" localSheetId="15">'Str. Utility (4)'!$B$30</definedName>
    <definedName name="mod" localSheetId="7">'TD,DB,HD (1)'!$O$49</definedName>
    <definedName name="mod" localSheetId="8">'TD,DB,HD (2)'!$O$45</definedName>
    <definedName name="mod" localSheetId="9">'TD,DB,HD (3)'!$O$45</definedName>
    <definedName name="mod" localSheetId="10">'TD,DB,HD (4)'!$O$45</definedName>
    <definedName name="model" localSheetId="48">'Allen Bradley MPL - Feed (1)'!$B$9</definedName>
    <definedName name="model" localSheetId="52">'Allen Bradley MPL - Feed (2)'!$B$9</definedName>
    <definedName name="Model" localSheetId="11">'Reel Drive'!$B$8</definedName>
    <definedName name="MODEL" localSheetId="29">Regen!$E$44</definedName>
    <definedName name="MODEL" localSheetId="33">Regen2!$E$44</definedName>
    <definedName name="MODEL" localSheetId="37">Regen3!$E$44</definedName>
    <definedName name="MODEL" localSheetId="45">Regen4!$E$44</definedName>
    <definedName name="MODEL" localSheetId="49">Regen5!$E$44</definedName>
    <definedName name="MODEL" localSheetId="53">Regen6!$E$44</definedName>
    <definedName name="model" localSheetId="28">'Sigma 5 Feed (1)'!$B$9</definedName>
    <definedName name="model" localSheetId="32">'Sigma 5 Feed (2)'!$B$9</definedName>
    <definedName name="model" localSheetId="36">'Sigma 5 Feed With Pull Thru (1)'!$B$9</definedName>
    <definedName name="model" localSheetId="44">'Sigma 5 Feed With Pull Thru (2)'!$B$9</definedName>
    <definedName name="model" localSheetId="12">'Str. Utility (1)'!$B$9</definedName>
    <definedName name="model" localSheetId="13">'Str. Utility (2)'!$B$9</definedName>
    <definedName name="model" localSheetId="14">'Str. Utility (3)'!$B$9</definedName>
    <definedName name="model" localSheetId="15">'Str. Utility (4)'!$B$9</definedName>
    <definedName name="model" localSheetId="31">Time!$E$45</definedName>
    <definedName name="model" localSheetId="35">Time2!$E$45</definedName>
    <definedName name="model" localSheetId="39">Time3!$E$45</definedName>
    <definedName name="model" localSheetId="47">Time4!$E$45</definedName>
    <definedName name="model" localSheetId="51">Time5!$E$45</definedName>
    <definedName name="model" localSheetId="55">Time6!$E$45</definedName>
    <definedName name="modulus" localSheetId="24">'11 Roll Str. Backbend (1)'!$B$20</definedName>
    <definedName name="modulus" localSheetId="25">'11 Roll Str. Backbend (2)'!$B$20</definedName>
    <definedName name="modulus" localSheetId="26">'11 Roll Str. Backbend (3)'!$B$20</definedName>
    <definedName name="modulus" localSheetId="27">'11 Roll Str. Backbend (4)'!$B$20</definedName>
    <definedName name="modulus" localSheetId="16">'7 Roll Str. Backbend (1)'!$B$20</definedName>
    <definedName name="modulus" localSheetId="17">'7 Roll Str. Backbend (2)'!$B$20</definedName>
    <definedName name="modulus" localSheetId="18">'7 Roll Str. Backbend (3)'!$B$20</definedName>
    <definedName name="modulus" localSheetId="19">'7 Roll Str. Backbend (4)'!$B$20</definedName>
    <definedName name="modulus" localSheetId="20">'9 Roll Str. Backbend (1)'!$B$20</definedName>
    <definedName name="modulus" localSheetId="21">'9 Roll Str. Backbend (2)'!$B$20</definedName>
    <definedName name="modulus" localSheetId="22">'9 Roll Str. Backbend (3)'!$B$20</definedName>
    <definedName name="modulus" localSheetId="23">'9 Roll Str. Backbend (4)'!$B$20</definedName>
    <definedName name="modulus" localSheetId="43">#REF!</definedName>
    <definedName name="modulus" localSheetId="41">#REF!</definedName>
    <definedName name="MOTORINT" localSheetId="11">'Reel Drive'!$C$26</definedName>
    <definedName name="MOTORRPM" localSheetId="11">'Reel Drive'!$D$26</definedName>
    <definedName name="MOVTM" localSheetId="48">'Allen Bradley MPL - Feed (1)'!$B$110</definedName>
    <definedName name="MOVTM" localSheetId="52">'Allen Bradley MPL - Feed (2)'!$B$110</definedName>
    <definedName name="MOVTM" localSheetId="28">'Sigma 5 Feed (1)'!$B$110</definedName>
    <definedName name="MOVTM" localSheetId="32">'Sigma 5 Feed (2)'!$B$110</definedName>
    <definedName name="MOVTM" localSheetId="36">'Sigma 5 Feed With Pull Thru (1)'!$B$110</definedName>
    <definedName name="MOVTM" localSheetId="44">'Sigma 5 Feed With Pull Thru (2)'!$B$110</definedName>
    <definedName name="MOVTM" localSheetId="31">Time!$B$8</definedName>
    <definedName name="MOVTM" localSheetId="35">Time2!$B$8</definedName>
    <definedName name="MOVTM" localSheetId="39">Time3!$B$8</definedName>
    <definedName name="MOVTM" localSheetId="47">Time4!$B$8</definedName>
    <definedName name="MOVTM" localSheetId="51">Time5!$B$8</definedName>
    <definedName name="MOVTM" localSheetId="55">Time6!$B$8</definedName>
    <definedName name="MOVTM_2" localSheetId="48">'Allen Bradley MPL - Feed (1)'!$B$111</definedName>
    <definedName name="MOVTM_2" localSheetId="52">'Allen Bradley MPL - Feed (2)'!$B$111</definedName>
    <definedName name="MOVTM_2" localSheetId="28">'Sigma 5 Feed (1)'!$B$111</definedName>
    <definedName name="MOVTM_2" localSheetId="32">'Sigma 5 Feed (2)'!$B$111</definedName>
    <definedName name="MOVTM_2" localSheetId="36">'Sigma 5 Feed With Pull Thru (1)'!$B$111</definedName>
    <definedName name="MOVTM_2" localSheetId="44">'Sigma 5 Feed With Pull Thru (2)'!$B$111</definedName>
    <definedName name="MOVTM_2" localSheetId="31">Time!$L$8</definedName>
    <definedName name="MOVTM_2" localSheetId="35">Time2!$L$8</definedName>
    <definedName name="MOVTM_2" localSheetId="39">Time3!$L$8</definedName>
    <definedName name="MOVTM_2" localSheetId="47">Time4!$L$8</definedName>
    <definedName name="MOVTM_2" localSheetId="51">Time5!$L$8</definedName>
    <definedName name="MOVTM_2" localSheetId="55">Time6!$L$8</definedName>
    <definedName name="MPEAK" localSheetId="48">'Allen Bradley MPL - Feed (1)'!$E$22</definedName>
    <definedName name="MPEAK" localSheetId="52">'Allen Bradley MPL - Feed (2)'!$E$22</definedName>
    <definedName name="MPEAK" localSheetId="28">'Sigma 5 Feed (1)'!$E$22</definedName>
    <definedName name="MPEAK" localSheetId="32">'Sigma 5 Feed (2)'!$E$22</definedName>
    <definedName name="MPEAK" localSheetId="36">'Sigma 5 Feed With Pull Thru (1)'!$E$22</definedName>
    <definedName name="MPEAK" localSheetId="44">'Sigma 5 Feed With Pull Thru (2)'!$E$22</definedName>
    <definedName name="MPEAK" localSheetId="31">Time!$E$46</definedName>
    <definedName name="MPEAK" localSheetId="35">Time2!$E$46</definedName>
    <definedName name="MPEAK" localSheetId="39">Time3!$E$46</definedName>
    <definedName name="MPEAK" localSheetId="47">Time4!$E$46</definedName>
    <definedName name="MPEAK" localSheetId="51">Time5!$E$46</definedName>
    <definedName name="MPEAK" localSheetId="55">Time6!$E$46</definedName>
    <definedName name="MRMS" localSheetId="48">'Allen Bradley MPL - Feed (1)'!$E$23</definedName>
    <definedName name="MRMS" localSheetId="52">'Allen Bradley MPL - Feed (2)'!$E$23</definedName>
    <definedName name="MRMS" localSheetId="28">'Sigma 5 Feed (1)'!$E$23</definedName>
    <definedName name="MRMS" localSheetId="32">'Sigma 5 Feed (2)'!$E$23</definedName>
    <definedName name="MRMS" localSheetId="36">'Sigma 5 Feed With Pull Thru (1)'!$E$23</definedName>
    <definedName name="MRMS" localSheetId="44">'Sigma 5 Feed With Pull Thru (2)'!$E$23</definedName>
    <definedName name="MRMS" localSheetId="31">Time!$E$47</definedName>
    <definedName name="MRMS" localSheetId="35">Time2!$E$47</definedName>
    <definedName name="MRMS" localSheetId="39">Time3!$E$47</definedName>
    <definedName name="MRMS" localSheetId="47">Time4!$E$47</definedName>
    <definedName name="MRMS" localSheetId="51">Time5!$E$47</definedName>
    <definedName name="MRMS" localSheetId="55">Time6!$E$47</definedName>
    <definedName name="MRPM" localSheetId="48">'Allen Bradley MPL - Feed (1)'!$B$22</definedName>
    <definedName name="MRPM" localSheetId="52">'Allen Bradley MPL - Feed (2)'!$B$22</definedName>
    <definedName name="MRPM" localSheetId="28">'Sigma 5 Feed (1)'!$B$22</definedName>
    <definedName name="MRPM" localSheetId="32">'Sigma 5 Feed (2)'!$B$22</definedName>
    <definedName name="MRPM" localSheetId="36">'Sigma 5 Feed With Pull Thru (1)'!$B$22</definedName>
    <definedName name="MRPM" localSheetId="44">'Sigma 5 Feed With Pull Thru (2)'!$B$22</definedName>
    <definedName name="MRPM" localSheetId="31">Time!$E$48</definedName>
    <definedName name="MRPM" localSheetId="35">Time2!$E$48</definedName>
    <definedName name="MRPM" localSheetId="39">Time3!$E$48</definedName>
    <definedName name="MRPM" localSheetId="47">Time4!$E$48</definedName>
    <definedName name="MRPM" localSheetId="51">Time5!$E$48</definedName>
    <definedName name="MRPM" localSheetId="55">Time6!$E$48</definedName>
    <definedName name="MTRHP" localSheetId="11">'Reel Drive'!$B$26</definedName>
    <definedName name="MTRINT" localSheetId="43">#REF!</definedName>
    <definedName name="MTRINT" localSheetId="41">#REF!</definedName>
    <definedName name="MTRRPM" localSheetId="43">#REF!</definedName>
    <definedName name="MTRRPM" localSheetId="41">#REF!</definedName>
    <definedName name="MTRRPMFULL" localSheetId="11">'Reel Drive'!$E$26</definedName>
    <definedName name="My" localSheetId="24">'11 Roll Str. Backbend (1)'!$E$13</definedName>
    <definedName name="My" localSheetId="25">'11 Roll Str. Backbend (2)'!$E$13</definedName>
    <definedName name="My" localSheetId="26">'11 Roll Str. Backbend (3)'!$E$13</definedName>
    <definedName name="My" localSheetId="27">'11 Roll Str. Backbend (4)'!$E$13</definedName>
    <definedName name="My" localSheetId="16">'7 Roll Str. Backbend (1)'!$E$13</definedName>
    <definedName name="My" localSheetId="17">'7 Roll Str. Backbend (2)'!$E$13</definedName>
    <definedName name="My" localSheetId="18">'7 Roll Str. Backbend (3)'!$E$13</definedName>
    <definedName name="My" localSheetId="19">'7 Roll Str. Backbend (4)'!$E$13</definedName>
    <definedName name="My" localSheetId="20">'9 Roll Str. Backbend (1)'!$E$13</definedName>
    <definedName name="My" localSheetId="21">'9 Roll Str. Backbend (2)'!$E$13</definedName>
    <definedName name="My" localSheetId="22">'9 Roll Str. Backbend (3)'!$E$13</definedName>
    <definedName name="My" localSheetId="23">'9 Roll Str. Backbend (4)'!$E$13</definedName>
    <definedName name="My" localSheetId="12">'Str. Utility (1)'!$P$2</definedName>
    <definedName name="My" localSheetId="13">'Str. Utility (2)'!$P$2</definedName>
    <definedName name="My" localSheetId="14">'Str. Utility (3)'!$P$2</definedName>
    <definedName name="My" localSheetId="15">'Str. Utility (4)'!$P$2</definedName>
    <definedName name="My" localSheetId="7">'TD,DB,HD (1)'!$O$52</definedName>
    <definedName name="My" localSheetId="8">'TD,DB,HD (2)'!$O$48</definedName>
    <definedName name="My" localSheetId="9">'TD,DB,HD (3)'!$O$48</definedName>
    <definedName name="My" localSheetId="10">'TD,DB,HD (4)'!$O$48</definedName>
    <definedName name="no_brakepads" localSheetId="7">'TD,DB,HD (1)'!$F$58</definedName>
    <definedName name="no_brakepads" localSheetId="8">'TD,DB,HD (2)'!$F$54</definedName>
    <definedName name="no_brakepads" localSheetId="9">'TD,DB,HD (3)'!$F$54</definedName>
    <definedName name="no_brakepads" localSheetId="10">'TD,DB,HD (4)'!$F$54</definedName>
    <definedName name="NonMarking">'Material Specifications'!$B$38</definedName>
    <definedName name="OD" localSheetId="43">#REF!</definedName>
    <definedName name="OD" localSheetId="41">#REF!</definedName>
    <definedName name="Passline" localSheetId="1">RFQ!$I$93</definedName>
    <definedName name="Passline">'Material Specifications'!$B$30</definedName>
    <definedName name="payoff" localSheetId="43">#REF!</definedName>
    <definedName name="payoff" localSheetId="41">#REF!</definedName>
    <definedName name="payoff" localSheetId="12">'Str. Utility (1)'!$B$8</definedName>
    <definedName name="payoff" localSheetId="13">'Str. Utility (2)'!$B$8</definedName>
    <definedName name="payoff" localSheetId="14">'Str. Utility (3)'!$B$8</definedName>
    <definedName name="payoff" localSheetId="15">'Str. Utility (4)'!$B$8</definedName>
    <definedName name="PEAKTQ" localSheetId="48">'Allen Bradley MPL - Feed (1)'!$H$23</definedName>
    <definedName name="PEAKTQ" localSheetId="52">'Allen Bradley MPL - Feed (2)'!$H$23</definedName>
    <definedName name="PEAKTQ" localSheetId="28">'Sigma 5 Feed (1)'!$H$23</definedName>
    <definedName name="PEAKTQ" localSheetId="32">'Sigma 5 Feed (2)'!$H$23</definedName>
    <definedName name="PEAKTQ" localSheetId="36">'Sigma 5 Feed With Pull Thru (1)'!$H$20</definedName>
    <definedName name="PEAKTQ" localSheetId="44">'Sigma 5 Feed With Pull Thru (2)'!$H$20</definedName>
    <definedName name="PEAKTQ" localSheetId="31">Time!$E$49</definedName>
    <definedName name="PEAKTQ" localSheetId="35">Time2!$E$49</definedName>
    <definedName name="PEAKTQ" localSheetId="39">Time3!$E$49</definedName>
    <definedName name="PEAKTQ" localSheetId="47">Time4!$E$49</definedName>
    <definedName name="PEAKTQ" localSheetId="51">Time5!$E$49</definedName>
    <definedName name="PEAKTQ" localSheetId="55">Time6!$E$49</definedName>
    <definedName name="pinch_dia" localSheetId="43">#REF!</definedName>
    <definedName name="pinch_dia" localSheetId="41">#REF!</definedName>
    <definedName name="pinch_dia" localSheetId="12">'Str. Utility (1)'!$B$26</definedName>
    <definedName name="pinch_dia" localSheetId="13">'Str. Utility (2)'!$B$26</definedName>
    <definedName name="pinch_dia" localSheetId="14">'Str. Utility (3)'!$B$26</definedName>
    <definedName name="pinch_dia" localSheetId="15">'Str. Utility (4)'!$B$26</definedName>
    <definedName name="PressFeedSection" localSheetId="1">RFQ!$56:$71</definedName>
    <definedName name="PressMaxSPM" localSheetId="1">RFQ!$G$62</definedName>
    <definedName name="_xlnm.Print_Area" localSheetId="6">'Equipment Summary'!$C$2:$O$55</definedName>
    <definedName name="_xlnm.Print_Area" localSheetId="11">'Reel Drive'!$A$1:$H$39</definedName>
    <definedName name="_xlnm.Print_Area" localSheetId="1">RFQ!$A$1:$AB$119</definedName>
    <definedName name="pro_brake" localSheetId="43">#REF!</definedName>
    <definedName name="pro_brake" localSheetId="41">#REF!</definedName>
    <definedName name="pro_brake" localSheetId="12">'Str. Utility (1)'!$B$23</definedName>
    <definedName name="pro_brake" localSheetId="13">'Str. Utility (2)'!$B$23</definedName>
    <definedName name="pro_brake" localSheetId="14">'Str. Utility (3)'!$B$23</definedName>
    <definedName name="pro_brake" localSheetId="15">'Str. Utility (4)'!$B$23</definedName>
    <definedName name="PullThroughAllowed" localSheetId="1">RFQ!$AE$14:$AF$14</definedName>
    <definedName name="PullThroughInvalid" localSheetId="1">RFQ!$AE$15</definedName>
    <definedName name="pump_flow" localSheetId="43">'TD,DB,HD (1)'!#REF!</definedName>
    <definedName name="pump_flow" localSheetId="41">'TD,DB,HD (1)'!#REF!</definedName>
    <definedName name="rad_at_yld" localSheetId="24">'11 Roll Str. Backbend (1)'!$E$12</definedName>
    <definedName name="rad_at_yld" localSheetId="25">'11 Roll Str. Backbend (2)'!$E$12</definedName>
    <definedName name="rad_at_yld" localSheetId="26">'11 Roll Str. Backbend (3)'!$E$12</definedName>
    <definedName name="rad_at_yld" localSheetId="27">'11 Roll Str. Backbend (4)'!$E$12</definedName>
    <definedName name="rad_at_yld" localSheetId="16">'7 Roll Str. Backbend (1)'!$E$12</definedName>
    <definedName name="rad_at_yld" localSheetId="17">'7 Roll Str. Backbend (2)'!$E$12</definedName>
    <definedName name="rad_at_yld" localSheetId="18">'7 Roll Str. Backbend (3)'!$E$12</definedName>
    <definedName name="rad_at_yld" localSheetId="19">'7 Roll Str. Backbend (4)'!$E$12</definedName>
    <definedName name="rad_at_yld" localSheetId="20">'9 Roll Str. Backbend (1)'!$E$12</definedName>
    <definedName name="rad_at_yld" localSheetId="21">'9 Roll Str. Backbend (2)'!$E$12</definedName>
    <definedName name="rad_at_yld" localSheetId="22">'9 Roll Str. Backbend (3)'!$E$12</definedName>
    <definedName name="rad_at_yld" localSheetId="23">'9 Roll Str. Backbend (4)'!$E$12</definedName>
    <definedName name="rad_at_yld" localSheetId="43">#REF!</definedName>
    <definedName name="rad_at_yld" localSheetId="41">#REF!</definedName>
    <definedName name="rad_at_yld" localSheetId="12">'Str. Utility (1)'!$P$1</definedName>
    <definedName name="rad_at_yld" localSheetId="13">'Str. Utility (2)'!$P$1</definedName>
    <definedName name="rad_at_yld" localSheetId="14">'Str. Utility (3)'!$P$1</definedName>
    <definedName name="rad_at_yld" localSheetId="15">'Str. Utility (4)'!$P$1</definedName>
    <definedName name="RATIO" localSheetId="48">'Allen Bradley MPL - Feed (1)'!$B$26</definedName>
    <definedName name="RATIO" localSheetId="52">'Allen Bradley MPL - Feed (2)'!$B$26</definedName>
    <definedName name="Ratio" localSheetId="30">Inertia!$B$48</definedName>
    <definedName name="Ratio" localSheetId="34">Inertia2!$B$48</definedName>
    <definedName name="Ratio" localSheetId="38">Inertia3!$B$48</definedName>
    <definedName name="Ratio" localSheetId="46">Inertia4!$B$48</definedName>
    <definedName name="Ratio" localSheetId="50">Inertia5!$B$48</definedName>
    <definedName name="Ratio" localSheetId="54">Inertia6!$B$48</definedName>
    <definedName name="RATIO" localSheetId="11">'Reel Drive'!$B$24</definedName>
    <definedName name="RATIO" localSheetId="28">'Sigma 5 Feed (1)'!$B$26</definedName>
    <definedName name="RATIO" localSheetId="32">'Sigma 5 Feed (2)'!$B$26</definedName>
    <definedName name="RATIO" localSheetId="36">'Sigma 5 Feed With Pull Thru (1)'!$B$26</definedName>
    <definedName name="RATIO" localSheetId="44">'Sigma 5 Feed With Pull Thru (2)'!$B$26</definedName>
    <definedName name="RATIO" localSheetId="31">Time!$E$50</definedName>
    <definedName name="RATIO" localSheetId="35">Time2!$E$50</definedName>
    <definedName name="RATIO" localSheetId="39">Time3!$E$50</definedName>
    <definedName name="RATIO" localSheetId="47">Time4!$E$50</definedName>
    <definedName name="RATIO" localSheetId="51">Time5!$E$50</definedName>
    <definedName name="RATIO" localSheetId="55">Time6!$E$50</definedName>
    <definedName name="RBRGDIA" localSheetId="43">#REF!</definedName>
    <definedName name="RBRGDIA" localSheetId="41">#REF!</definedName>
    <definedName name="REARBEARINGDIA" localSheetId="11">'Reel Drive'!$F$12</definedName>
    <definedName name="REDBACKEFFIC" localSheetId="11">'Reel Drive'!$E$20</definedName>
    <definedName name="REDUCEREFFIC" localSheetId="11">'Reel Drive'!$D$20</definedName>
    <definedName name="REDUCERINT" localSheetId="11">'Reel Drive'!$G$20</definedName>
    <definedName name="REDUCERRATIO" localSheetId="11">'Reel Drive'!$B$20</definedName>
    <definedName name="REDUCERREFLI" localSheetId="11">'Reel Drive'!$H$20</definedName>
    <definedName name="Reel_Backplate">'TD,DB,HD (1)'!$B$10</definedName>
    <definedName name="reel_model">'TD,DB,HD (1)'!$B$8</definedName>
    <definedName name="Reel_Width">'TD,DB,HD (1)'!$B$9</definedName>
    <definedName name="ReelBPs">_xlfn.ANCHORARRAY(Lookups!$T$259)</definedName>
    <definedName name="ReelDriveOK">'Reel Drive'!$G$34</definedName>
    <definedName name="ReelHPs">_xlfn.ANCHORARRAY(Lookups!$R$259)</definedName>
    <definedName name="ReelModels">_xlfn.ANCHORARRAY(Lookups!$H$259)</definedName>
    <definedName name="ReelStyle">'Material Specifications'!$B$35</definedName>
    <definedName name="ReelWidths">_xlfn.ANCHORARRAY(Lookups!$P$259)</definedName>
    <definedName name="Reference">'Material Specifications'!$B$5</definedName>
    <definedName name="REFLECTEDFRICTIONFULL" localSheetId="11">'Reel Drive'!$E$30</definedName>
    <definedName name="REFLFRICEMPTY" localSheetId="11">'Reel Drive'!$D$30</definedName>
    <definedName name="REFLIEMPTY" localSheetId="11">'Reel Drive'!$G$24</definedName>
    <definedName name="REFLIFULL" localSheetId="11">'Reel Drive'!$H$24</definedName>
    <definedName name="reflin" localSheetId="48">'Allen Bradley MPL - Feed (1)'!$H$21</definedName>
    <definedName name="reflin" localSheetId="52">'Allen Bradley MPL - Feed (2)'!$H$21</definedName>
    <definedName name="reflin" localSheetId="28">'Sigma 5 Feed (1)'!$H$21</definedName>
    <definedName name="reflin" localSheetId="32">'Sigma 5 Feed (2)'!$H$21</definedName>
    <definedName name="reflin" localSheetId="36">'Sigma 5 Feed With Pull Thru (1)'!$H$18</definedName>
    <definedName name="reflin" localSheetId="44">'Sigma 5 Feed With Pull Thru (2)'!$H$18</definedName>
    <definedName name="reflin" localSheetId="31">Time!$E$51</definedName>
    <definedName name="reflin" localSheetId="35">Time2!$E$51</definedName>
    <definedName name="reflin" localSheetId="39">Time3!$E$51</definedName>
    <definedName name="reflin" localSheetId="47">Time4!$E$51</definedName>
    <definedName name="reflin" localSheetId="51">Time5!$E$51</definedName>
    <definedName name="reflin" localSheetId="55">Time6!$E$51</definedName>
    <definedName name="regen" localSheetId="48">'Allen Bradley MPL - Feed (1)'!$B$121</definedName>
    <definedName name="regen" localSheetId="52">'Allen Bradley MPL - Feed (2)'!$B$121</definedName>
    <definedName name="regen" localSheetId="29">Regen!$F$33</definedName>
    <definedName name="regen" localSheetId="33">Regen2!$F$33</definedName>
    <definedName name="regen" localSheetId="37">Regen3!$F$33</definedName>
    <definedName name="regen" localSheetId="45">Regen4!$F$33</definedName>
    <definedName name="regen" localSheetId="49">Regen5!$F$33</definedName>
    <definedName name="regen" localSheetId="53">Regen6!$F$33</definedName>
    <definedName name="regen" localSheetId="28">'Sigma 5 Feed (1)'!$B$121</definedName>
    <definedName name="regen" localSheetId="32">'Sigma 5 Feed (2)'!$B$121</definedName>
    <definedName name="regen" localSheetId="36">'Sigma 5 Feed With Pull Thru (1)'!$B$121</definedName>
    <definedName name="regen" localSheetId="44">'Sigma 5 Feed With Pull Thru (2)'!$B$121</definedName>
    <definedName name="regen" localSheetId="31">Time!$B$38</definedName>
    <definedName name="regen" localSheetId="35">Time2!$B$38</definedName>
    <definedName name="regen" localSheetId="39">Time3!$B$38</definedName>
    <definedName name="regen" localSheetId="47">Time4!$B$38</definedName>
    <definedName name="regen" localSheetId="51">Time5!$B$38</definedName>
    <definedName name="regen" localSheetId="55">Time6!$B$38</definedName>
    <definedName name="REGENEMPYY" localSheetId="11">'Reel Drive'!$B$37</definedName>
    <definedName name="REGENFULL" localSheetId="11">'Reel Drive'!$C$37</definedName>
    <definedName name="ReqMaxFPM_1">'Material Specifications'!$B$17</definedName>
    <definedName name="ReqMaxFPM_2">'Material Specifications'!$C$17</definedName>
    <definedName name="ReqMaxFPM_3">'Material Specifications'!$D$17</definedName>
    <definedName name="ReqMaxFPM_4">'Material Specifications'!$E$17</definedName>
    <definedName name="RequireGuarding" localSheetId="1">RFQ!$R$102</definedName>
    <definedName name="RequireRewind" localSheetId="1">RFQ!$Q$35</definedName>
    <definedName name="RFQBackplate" localSheetId="1">RFQ!$Q$33</definedName>
    <definedName name="RFQCoilCar" localSheetId="1">RFQ!$Q$31</definedName>
    <definedName name="RFQDate" localSheetId="1">RFQ!$Y$7</definedName>
    <definedName name="RFQMaterialList" localSheetId="1">RFQ!$AE$18:$AE$27</definedName>
    <definedName name="RFQTypeOfQuote" localSheetId="1">RFQ!$AL$18:$AL$24</definedName>
    <definedName name="RMSTQ" localSheetId="48">'Allen Bradley MPL - Feed (1)'!$H$24</definedName>
    <definedName name="RMSTQ" localSheetId="52">'Allen Bradley MPL - Feed (2)'!$H$24</definedName>
    <definedName name="RMSTQ" localSheetId="28">'Sigma 5 Feed (1)'!$H$24</definedName>
    <definedName name="RMSTQ" localSheetId="32">'Sigma 5 Feed (2)'!$H$24</definedName>
    <definedName name="RMSTQ" localSheetId="36">'Sigma 5 Feed With Pull Thru (1)'!$H$21</definedName>
    <definedName name="RMSTQ" localSheetId="44">'Sigma 5 Feed With Pull Thru (2)'!$H$21</definedName>
    <definedName name="RMSTQ" localSheetId="31">Time!$E$52</definedName>
    <definedName name="RMSTQ" localSheetId="35">Time2!$E$52</definedName>
    <definedName name="RMSTQ" localSheetId="39">Time3!$E$52</definedName>
    <definedName name="RMSTQ" localSheetId="47">Time4!$E$52</definedName>
    <definedName name="RMSTQ" localSheetId="51">Time5!$E$52</definedName>
    <definedName name="RMSTQ" localSheetId="55">Time6!$E$52</definedName>
    <definedName name="RMSTQ_2" localSheetId="48">'Allen Bradley MPL - Feed (1)'!$H$25</definedName>
    <definedName name="RMSTQ_2" localSheetId="52">'Allen Bradley MPL - Feed (2)'!$H$25</definedName>
    <definedName name="RMSTQ_2" localSheetId="28">'Sigma 5 Feed (1)'!$H$25</definedName>
    <definedName name="RMSTQ_2" localSheetId="32">'Sigma 5 Feed (2)'!$H$25</definedName>
    <definedName name="RMSTQ_2" localSheetId="36">'Sigma 5 Feed With Pull Thru (1)'!$H$22</definedName>
    <definedName name="RMSTQ_2" localSheetId="44">'Sigma 5 Feed With Pull Thru (2)'!$H$22</definedName>
    <definedName name="RMSTQ_2" localSheetId="31">Time!$E$53</definedName>
    <definedName name="RMSTQ_2" localSheetId="35">Time2!$E$53</definedName>
    <definedName name="RMSTQ_2" localSheetId="39">Time3!$E$53</definedName>
    <definedName name="RMSTQ_2" localSheetId="47">Time4!$E$53</definedName>
    <definedName name="RMSTQ_2" localSheetId="51">Time5!$E$53</definedName>
    <definedName name="RMSTQ_2" localSheetId="55">Time6!$E$53</definedName>
    <definedName name="RollSelection">'Material Specifications'!$B$32</definedName>
    <definedName name="ROLLWIDTH" localSheetId="48">'Allen Bradley MPL - Feed (1)'!$B$12</definedName>
    <definedName name="ROLLWIDTH" localSheetId="52">'Allen Bradley MPL - Feed (2)'!$B$12</definedName>
    <definedName name="RollWidth" localSheetId="30">Inertia!$B$54</definedName>
    <definedName name="RollWidth" localSheetId="34">Inertia2!$B$54</definedName>
    <definedName name="ROLLWIDTH" localSheetId="38">Inertia3!$B$56</definedName>
    <definedName name="ROLLWIDTH" localSheetId="46">Inertia4!$B$56</definedName>
    <definedName name="RollWidth" localSheetId="50">Inertia5!$B$54</definedName>
    <definedName name="RollWidth" localSheetId="54">Inertia6!$B$54</definedName>
    <definedName name="ROLLWIDTH" localSheetId="28">'Sigma 5 Feed (1)'!$B$12</definedName>
    <definedName name="ROLLWIDTH" localSheetId="32">'Sigma 5 Feed (2)'!$B$12</definedName>
    <definedName name="ROLLWIDTH" localSheetId="36">'Sigma 5 Feed With Pull Thru (1)'!$B$12</definedName>
    <definedName name="ROLLWIDTH" localSheetId="44">'Sigma 5 Feed With Pull Thru (2)'!$B$12</definedName>
    <definedName name="ROLLWIDTH" localSheetId="31">Time!$E$54</definedName>
    <definedName name="ROLLWIDTH" localSheetId="35">Time2!$E$54</definedName>
    <definedName name="ROLLWIDTH" localSheetId="39">Time3!$E$54</definedName>
    <definedName name="ROLLWIDTH" localSheetId="47">Time4!$E$54</definedName>
    <definedName name="ROLLWIDTH" localSheetId="51">Time5!$E$54</definedName>
    <definedName name="ROLLWIDTH" localSheetId="55">Time6!$E$54</definedName>
    <definedName name="RPM" localSheetId="48">'Allen Bradley MPL - Feed (1)'!$G$75</definedName>
    <definedName name="RPM" localSheetId="52">'Allen Bradley MPL - Feed (2)'!$G$75</definedName>
    <definedName name="RPM" localSheetId="29">Regen!$E$45</definedName>
    <definedName name="RPM" localSheetId="33">Regen2!$E$45</definedName>
    <definedName name="RPM" localSheetId="37">Regen3!$E$45</definedName>
    <definedName name="RPM" localSheetId="45">Regen4!$E$45</definedName>
    <definedName name="RPM" localSheetId="49">Regen5!$E$45</definedName>
    <definedName name="RPM" localSheetId="53">Regen6!$E$45</definedName>
    <definedName name="RPM" localSheetId="28">'Sigma 5 Feed (1)'!$G$79</definedName>
    <definedName name="RPM" localSheetId="32">'Sigma 5 Feed (2)'!$G$79</definedName>
    <definedName name="RPM" localSheetId="36">'Sigma 5 Feed With Pull Thru (1)'!$G$83</definedName>
    <definedName name="RPM" localSheetId="44">'Sigma 5 Feed With Pull Thru (2)'!$G$83</definedName>
    <definedName name="RPM" localSheetId="31">Time!$E$55</definedName>
    <definedName name="RPM" localSheetId="35">Time2!$E$55</definedName>
    <definedName name="RPM" localSheetId="39">Time3!$E$55</definedName>
    <definedName name="RPM" localSheetId="47">Time4!$E$55</definedName>
    <definedName name="RPM" localSheetId="51">Time5!$E$55</definedName>
    <definedName name="RPM" localSheetId="55">Time6!$E$55</definedName>
    <definedName name="RPMEMPTY" localSheetId="11">'Reel Drive'!$D$14</definedName>
    <definedName name="RPMFULL" localSheetId="11">'Reel Drive'!$E$14</definedName>
    <definedName name="rw_torque" localSheetId="7">'TD,DB,HD (1)'!$K$56</definedName>
    <definedName name="rw_torque" localSheetId="8">'TD,DB,HD (2)'!$K$52</definedName>
    <definedName name="rw_torque" localSheetId="9">'TD,DB,HD (3)'!$K$52</definedName>
    <definedName name="rw_torque" localSheetId="10">'TD,DB,HD (4)'!$K$52</definedName>
    <definedName name="S_Roll" localSheetId="38">Inertia3!$B$54</definedName>
    <definedName name="S_Roll" localSheetId="46">Inertia4!$B$54</definedName>
    <definedName name="S_ROLL" localSheetId="36">'Sigma 5 Feed With Pull Thru (1)'!$B$17</definedName>
    <definedName name="S_ROLL" localSheetId="44">'Sigma 5 Feed With Pull Thru (2)'!$B$17</definedName>
    <definedName name="S_ROLL" localSheetId="39">Time3!$E$58</definedName>
    <definedName name="S_ROLL" localSheetId="47">Time4!$E$58</definedName>
    <definedName name="SelectedApplication">Lookups!$B$24</definedName>
    <definedName name="SelectedFeedUsed">Lookups!$G$24</definedName>
    <definedName name="SelectedPullThruUsed">Lookups!$D$24</definedName>
    <definedName name="SelectedReelType">Lookups!$C$24</definedName>
    <definedName name="SelectedReelUsed">Lookups!$E$24</definedName>
    <definedName name="SelectedShearUsed">Lookups!$I$24</definedName>
    <definedName name="SelectedStackerUsed">Lookups!$H$24</definedName>
    <definedName name="SelectedStrUsed">Lookups!$F$24</definedName>
    <definedName name="SETTM" localSheetId="48">'Allen Bradley MPL - Feed (1)'!$B$25</definedName>
    <definedName name="SETTM" localSheetId="52">'Allen Bradley MPL - Feed (2)'!$B$25</definedName>
    <definedName name="SETTM" localSheetId="28">'Sigma 5 Feed (1)'!$B$25</definedName>
    <definedName name="SETTM" localSheetId="32">'Sigma 5 Feed (2)'!$B$25</definedName>
    <definedName name="SETTM" localSheetId="36">'Sigma 5 Feed With Pull Thru (1)'!$B$25</definedName>
    <definedName name="SETTM" localSheetId="44">'Sigma 5 Feed With Pull Thru (2)'!$B$25</definedName>
    <definedName name="SETTM" localSheetId="31">Time!$E$56</definedName>
    <definedName name="SETTM" localSheetId="35">Time2!$E$56</definedName>
    <definedName name="SETTM" localSheetId="39">Time3!$E$56</definedName>
    <definedName name="SETTM" localSheetId="47">Time4!$E$56</definedName>
    <definedName name="SETTM" localSheetId="51">Time5!$E$56</definedName>
    <definedName name="SETTM" localSheetId="55">Time6!$E$56</definedName>
    <definedName name="SETTQ" localSheetId="48">'Allen Bradley MPL - Feed (1)'!$E$26</definedName>
    <definedName name="SETTQ" localSheetId="52">'Allen Bradley MPL - Feed (2)'!$E$26</definedName>
    <definedName name="SETTQ" localSheetId="28">'Sigma 5 Feed (1)'!$E$26</definedName>
    <definedName name="SETTQ" localSheetId="32">'Sigma 5 Feed (2)'!$E$26</definedName>
    <definedName name="SETTQ" localSheetId="36">'Sigma 5 Feed With Pull Thru (1)'!$E$26</definedName>
    <definedName name="SETTQ" localSheetId="44">'Sigma 5 Feed With Pull Thru (2)'!$E$26</definedName>
    <definedName name="SETTQ" localSheetId="31">Time!$E$57</definedName>
    <definedName name="SETTQ" localSheetId="35">Time2!$E$57</definedName>
    <definedName name="SETTQ" localSheetId="39">Time3!$E$57</definedName>
    <definedName name="SETTQ" localSheetId="47">Time4!$E$57</definedName>
    <definedName name="SETTQ" localSheetId="51">Time5!$E$57</definedName>
    <definedName name="SETTQ" localSheetId="55">Time6!$E$57</definedName>
    <definedName name="ShowAll">'Material Specifications'!$A$23</definedName>
    <definedName name="Sigma5Models">_xlfn.ANCHORARRAY(Lookups!$D$429)</definedName>
    <definedName name="Sigma5Pass">'Sigma 5 Feed (1)'!$J$1</definedName>
    <definedName name="Sigma5PTModels">_xlfn.ANCHORARRAY(Lookups!$J$429)</definedName>
    <definedName name="Sigma5PTWidths">_xlfn.ANCHORARRAY(Lookups!$K$429)</definedName>
    <definedName name="Sigma5Widths">_xlfn.ANCHORARRAY(Lookups!$E$429)</definedName>
    <definedName name="SigmaPTOK">'Sigma 5 Feed With Pull Thru (1)'!$I$25</definedName>
    <definedName name="SP_Roll" localSheetId="38">Inertia3!$B$55</definedName>
    <definedName name="SP_Roll" localSheetId="46">Inertia4!$B$55</definedName>
    <definedName name="SP_ROLL" localSheetId="36">'Sigma 5 Feed With Pull Thru (1)'!$B$18</definedName>
    <definedName name="SP_ROLL" localSheetId="44">'Sigma 5 Feed With Pull Thru (2)'!$B$18</definedName>
    <definedName name="SP_ROLL" localSheetId="39">Time3!$E$59</definedName>
    <definedName name="SP_ROLL" localSheetId="47">Time4!$E$59</definedName>
    <definedName name="SPEED" localSheetId="11">'Reel Drive'!$B$31</definedName>
    <definedName name="SPRKTINT" localSheetId="11">'Reel Drive'!$G$22</definedName>
    <definedName name="SPRKTOD" localSheetId="11">'Reel Drive'!$C$22</definedName>
    <definedName name="SPRKTREFLI" localSheetId="11">'Reel Drive'!$H$22</definedName>
    <definedName name="SPRKTTHICK" localSheetId="11">'Reel Drive'!$D$22</definedName>
    <definedName name="SPRKTWEIGHT" localSheetId="11">'Reel Drive'!$F$22</definedName>
    <definedName name="sr_endwheel" localSheetId="7">'TD,DB,HD (1)'!$B$18</definedName>
    <definedName name="sr_endwheel" localSheetId="8">'TD,DB,HD (2)'!$B$16</definedName>
    <definedName name="sr_endwheel" localSheetId="9">'TD,DB,HD (3)'!$B$16</definedName>
    <definedName name="sr_endwheel" localSheetId="10">'TD,DB,HD (4)'!$B$16</definedName>
    <definedName name="sr_holdup" localSheetId="43">'TD,DB,HD (1)'!#REF!</definedName>
    <definedName name="sr_holdup" localSheetId="41">'TD,DB,HD (1)'!#REF!</definedName>
    <definedName name="sr_reel" localSheetId="43">'TD,DB,HD (1)'!#REF!</definedName>
    <definedName name="sr_reel" localSheetId="41">'TD,DB,HD (1)'!#REF!</definedName>
    <definedName name="str_dia" localSheetId="43">#REF!</definedName>
    <definedName name="str_dia" localSheetId="41">#REF!</definedName>
    <definedName name="str_dia" localSheetId="12">'Str. Utility (1)'!$B$25</definedName>
    <definedName name="str_dia" localSheetId="13">'Str. Utility (2)'!$B$25</definedName>
    <definedName name="str_dia" localSheetId="14">'Str. Utility (3)'!$B$25</definedName>
    <definedName name="str_dia" localSheetId="15">'Str. Utility (4)'!$B$25</definedName>
    <definedName name="STR_TO" localSheetId="36">'Sigma 5 Feed With Pull Thru (1)'!$H$24</definedName>
    <definedName name="STR_TO" localSheetId="44">'Sigma 5 Feed With Pull Thru (2)'!$H$24</definedName>
    <definedName name="STR_TO" localSheetId="39">Time3!$E$62</definedName>
    <definedName name="STR_TO" localSheetId="47">Time4!$E$62</definedName>
    <definedName name="str_tq" localSheetId="43">#REF!</definedName>
    <definedName name="str_tq" localSheetId="41">#REF!</definedName>
    <definedName name="str_tq" localSheetId="12">'Str. Utility (1)'!$P$38</definedName>
    <definedName name="str_tq" localSheetId="13">'Str. Utility (2)'!$P$38</definedName>
    <definedName name="str_tq" localSheetId="14">'Str. Utility (3)'!$P$38</definedName>
    <definedName name="str_tq" localSheetId="15">'Str. Utility (4)'!$P$38</definedName>
    <definedName name="str_width" localSheetId="43">#REF!</definedName>
    <definedName name="str_width" localSheetId="41">#REF!</definedName>
    <definedName name="str_width" localSheetId="12">'Str. Utility (1)'!$B$10</definedName>
    <definedName name="str_width" localSheetId="13">'Str. Utility (2)'!$B$10</definedName>
    <definedName name="str_width" localSheetId="14">'Str. Utility (3)'!$B$10</definedName>
    <definedName name="str_width" localSheetId="15">'Str. Utility (4)'!$B$10</definedName>
    <definedName name="Str1_11YieldMet">'11 Roll Str. Backbend (1)'!$B$27</definedName>
    <definedName name="Str1_7YieldMet">'7 Roll Str. Backbend (1)'!$B$27</definedName>
    <definedName name="Str1_9YieldMet">'9 Roll Str. Backbend (1)'!$B$27</definedName>
    <definedName name="Str1OK">'Str. Utility (1)'!$I$25</definedName>
    <definedName name="Str2_11YieldMet">'11 Roll Str. Backbend (2)'!$B$27</definedName>
    <definedName name="Str2_7YieldMet">'7 Roll Str. Backbend (2)'!$B$27</definedName>
    <definedName name="Str2_9YieldMet">'9 Roll Str. Backbend (2)'!$B$27</definedName>
    <definedName name="Str2OK">'Str. Utility (2)'!$I$25</definedName>
    <definedName name="Str3_11YieldMet">'11 Roll Str. Backbend (3)'!$B$27</definedName>
    <definedName name="Str3_7YieldMet">'7 Roll Str. Backbend (3)'!$B$27</definedName>
    <definedName name="Str3_9YieldMet">'9 Roll Str. Backbend (3)'!$B$27</definedName>
    <definedName name="Str3OK">'Str. Utility (3)'!$I$25</definedName>
    <definedName name="Str4_11YieldMet">'11 Roll Str. Backbend (4)'!$B$27</definedName>
    <definedName name="Str4_7YieldMet">'7 Roll Str. Backbend (4)'!$B$27</definedName>
    <definedName name="Str4_9YieldMet">'9 Roll Str. Backbend (4)'!$B$27</definedName>
    <definedName name="Str4OK">'Str. Utility (4)'!$I$25</definedName>
    <definedName name="StrFPMs">_xlfn.ANCHORARRAY(Lookups!$H$580)</definedName>
    <definedName name="StrHPs">_xlfn.ANCHORARRAY(Lookups!$E$580)</definedName>
    <definedName name="StrMaxSp" localSheetId="48">'Allen Bradley MPL - Feed (1)'!$B$17</definedName>
    <definedName name="StrMaxSp" localSheetId="52">'Allen Bradley MPL - Feed (2)'!$B$17</definedName>
    <definedName name="StrMaxSp" localSheetId="28">'Sigma 5 Feed (1)'!$B$17</definedName>
    <definedName name="StrMaxSp" localSheetId="32">'Sigma 5 Feed (2)'!$B$17</definedName>
    <definedName name="StrMaxSp" localSheetId="36">'Sigma 5 Feed With Pull Thru (1)'!$E$12</definedName>
    <definedName name="StrMaxSp" localSheetId="44">'Sigma 5 Feed With Pull Thru (2)'!$E$12</definedName>
    <definedName name="StrMaxSp" localSheetId="31">Time!$E$58</definedName>
    <definedName name="StrMaxSp" localSheetId="35">Time2!$E$58</definedName>
    <definedName name="StrMaxSp" localSheetId="39">Time3!$E$60</definedName>
    <definedName name="StrMaxSp" localSheetId="47">Time4!$E$60</definedName>
    <definedName name="StrMaxSp" localSheetId="51">Time5!$E$58</definedName>
    <definedName name="StrMaxSp" localSheetId="55">Time6!$E$58</definedName>
    <definedName name="StrMaxSpInch" localSheetId="48">'Allen Bradley MPL - Feed (1)'!$D$79</definedName>
    <definedName name="StrMaxSpInch" localSheetId="52">'Allen Bradley MPL - Feed (2)'!$D$79</definedName>
    <definedName name="StrMaxSpInch" localSheetId="28">'Sigma 5 Feed (1)'!$K$78</definedName>
    <definedName name="StrMaxSpInch" localSheetId="32">'Sigma 5 Feed (2)'!$K$78</definedName>
    <definedName name="StrMaxSpInch" localSheetId="36">'Sigma 5 Feed With Pull Thru (1)'!$K$83</definedName>
    <definedName name="StrMaxSpInch" localSheetId="44">'Sigma 5 Feed With Pull Thru (2)'!$K$83</definedName>
    <definedName name="StrMaxSpInch" localSheetId="31">Time!$E$59</definedName>
    <definedName name="StrMaxSpInch" localSheetId="35">Time2!$E$59</definedName>
    <definedName name="StrMaxSpInch" localSheetId="39">Time3!$E$61</definedName>
    <definedName name="StrMaxSpInch" localSheetId="47">Time4!$E$61</definedName>
    <definedName name="StrMaxSpInch" localSheetId="51">Time5!$E$59</definedName>
    <definedName name="StrMaxSpInch" localSheetId="55">Time6!$E$59</definedName>
    <definedName name="StrModels">_xlfn.ANCHORARRAY(Lookups!$D$580)</definedName>
    <definedName name="StrWidths">_xlfn.ANCHORARRAY(Lookups!$F$580)</definedName>
    <definedName name="SUM" localSheetId="7">'TD,DB,HD (1)'!$R$57</definedName>
    <definedName name="T" localSheetId="48">'Allen Bradley MPL - Feed (1)'!$B$122</definedName>
    <definedName name="T" localSheetId="52">'Allen Bradley MPL - Feed (2)'!$B$122</definedName>
    <definedName name="T" localSheetId="29">Regen!$B$36</definedName>
    <definedName name="T" localSheetId="33">Regen2!$B$36</definedName>
    <definedName name="T" localSheetId="37">Regen3!$B$36</definedName>
    <definedName name="T" localSheetId="45">Regen4!$B$36</definedName>
    <definedName name="T" localSheetId="49">Regen5!$B$36</definedName>
    <definedName name="T" localSheetId="53">Regen6!$B$36</definedName>
    <definedName name="T" localSheetId="28">'Sigma 5 Feed (1)'!$B$122</definedName>
    <definedName name="T" localSheetId="32">'Sigma 5 Feed (2)'!$B$122</definedName>
    <definedName name="T" localSheetId="36">'Sigma 5 Feed With Pull Thru (1)'!$B$122</definedName>
    <definedName name="T" localSheetId="44">'Sigma 5 Feed With Pull Thru (2)'!$B$122</definedName>
    <definedName name="T" localSheetId="31">Time!$B$39</definedName>
    <definedName name="T" localSheetId="35">Time2!$B$39</definedName>
    <definedName name="T" localSheetId="39">Time3!$B$39</definedName>
    <definedName name="T" localSheetId="47">Time4!$B$39</definedName>
    <definedName name="T" localSheetId="51">Time5!$B$39</definedName>
    <definedName name="T" localSheetId="55">Time6!$B$39</definedName>
    <definedName name="TDDBHDOK">'TD,DB,HD (1)'!$C$31</definedName>
    <definedName name="Tensile_1" localSheetId="1">RFQ!$Y$39</definedName>
    <definedName name="Tensile_1">'Material Specifications'!$B$16</definedName>
    <definedName name="Tensile_2" localSheetId="1">RFQ!$Y$42</definedName>
    <definedName name="Tensile_2">'Material Specifications'!$C$16</definedName>
    <definedName name="Tensile_3" localSheetId="1">RFQ!$Y$45</definedName>
    <definedName name="Tensile_3">'Material Specifications'!$D$16</definedName>
    <definedName name="Tensile_4" localSheetId="1">RFQ!$Y$48</definedName>
    <definedName name="Tensile_4">'Material Specifications'!$E$16</definedName>
    <definedName name="tension" localSheetId="7">'TD,DB,HD (1)'!$F$16</definedName>
    <definedName name="tension" localSheetId="8">'TD,DB,HD (2)'!$F$14</definedName>
    <definedName name="tension" localSheetId="9">'TD,DB,HD (3)'!$F$14</definedName>
    <definedName name="tension" localSheetId="10">'TD,DB,HD (4)'!$F$14</definedName>
    <definedName name="tension_desired" localSheetId="7">'TD,DB,HD (1)'!$F$15</definedName>
    <definedName name="tension_desired" localSheetId="8">'TD,DB,HD (2)'!$F$13</definedName>
    <definedName name="tension_desired" localSheetId="9">'TD,DB,HD (3)'!$F$13</definedName>
    <definedName name="tension_desired" localSheetId="10">'TD,DB,HD (4)'!$F$13</definedName>
    <definedName name="tension_tor" localSheetId="7">'TD,DB,HD (1)'!$B$23</definedName>
    <definedName name="tension_tor" localSheetId="8">'TD,DB,HD (2)'!$B$21</definedName>
    <definedName name="tension_tor" localSheetId="9">'TD,DB,HD (3)'!$B$21</definedName>
    <definedName name="tension_tor" localSheetId="10">'TD,DB,HD (4)'!$B$21</definedName>
    <definedName name="Thick_1" localSheetId="1">RFQ!$I$38</definedName>
    <definedName name="Thick_2" localSheetId="1">RFQ!$I$41</definedName>
    <definedName name="Thick_3" localSheetId="1">RFQ!$I$44</definedName>
    <definedName name="Thick_4" localSheetId="1">RFQ!$I$47</definedName>
    <definedName name="Thickness_1">'Material Specifications'!$B$13</definedName>
    <definedName name="Thickness_2">'Material Specifications'!$C$13</definedName>
    <definedName name="Thickness_3">'Material Specifications'!$D$13</definedName>
    <definedName name="Thickness_4">'Material Specifications'!$E$13</definedName>
    <definedName name="thk" localSheetId="24">'11 Roll Str. Backbend (1)'!$B$12</definedName>
    <definedName name="thk" localSheetId="25">'11 Roll Str. Backbend (2)'!$B$12</definedName>
    <definedName name="thk" localSheetId="26">'11 Roll Str. Backbend (3)'!$B$12</definedName>
    <definedName name="thk" localSheetId="27">'11 Roll Str. Backbend (4)'!$B$12</definedName>
    <definedName name="thk" localSheetId="16">'7 Roll Str. Backbend (1)'!$B$12</definedName>
    <definedName name="thk" localSheetId="17">'7 Roll Str. Backbend (2)'!$B$12</definedName>
    <definedName name="thk" localSheetId="18">'7 Roll Str. Backbend (3)'!$B$12</definedName>
    <definedName name="thk" localSheetId="19">'7 Roll Str. Backbend (4)'!$B$12</definedName>
    <definedName name="thk" localSheetId="20">'9 Roll Str. Backbend (1)'!$B$12</definedName>
    <definedName name="thk" localSheetId="21">'9 Roll Str. Backbend (2)'!$B$12</definedName>
    <definedName name="thk" localSheetId="22">'9 Roll Str. Backbend (3)'!$B$12</definedName>
    <definedName name="thk" localSheetId="23">'9 Roll Str. Backbend (4)'!$B$12</definedName>
    <definedName name="thk" localSheetId="12">'Str. Utility (1)'!$B$16</definedName>
    <definedName name="thk" localSheetId="13">'Str. Utility (2)'!$B$16</definedName>
    <definedName name="thk" localSheetId="14">'Str. Utility (3)'!$B$16</definedName>
    <definedName name="thk" localSheetId="15">'Str. Utility (4)'!$B$16</definedName>
    <definedName name="thk" localSheetId="7">'TD,DB,HD (1)'!$B$13</definedName>
    <definedName name="thk" localSheetId="8">'TD,DB,HD (2)'!$B$11</definedName>
    <definedName name="thk" localSheetId="9">'TD,DB,HD (3)'!$B$11</definedName>
    <definedName name="thk" localSheetId="10">'TD,DB,HD (4)'!$B$11</definedName>
    <definedName name="ThreadingDrives">_xlfn.ANCHORARRAY(Lookups!$I$259)</definedName>
    <definedName name="Tint" localSheetId="48">'Allen Bradley MPL - Feed (1)'!$B$123</definedName>
    <definedName name="Tint" localSheetId="52">'Allen Bradley MPL - Feed (2)'!$B$123</definedName>
    <definedName name="Tint" localSheetId="29">Regen!$E$10</definedName>
    <definedName name="Tint" localSheetId="33">Regen2!$E$10</definedName>
    <definedName name="Tint" localSheetId="37">Regen3!$E$10</definedName>
    <definedName name="Tint" localSheetId="45">Regen4!$E$10</definedName>
    <definedName name="Tint" localSheetId="49">Regen5!$E$10</definedName>
    <definedName name="Tint" localSheetId="53">Regen6!$E$10</definedName>
    <definedName name="Tint" localSheetId="28">'Sigma 5 Feed (1)'!$B$123</definedName>
    <definedName name="Tint" localSheetId="32">'Sigma 5 Feed (2)'!$B$123</definedName>
    <definedName name="Tint" localSheetId="36">'Sigma 5 Feed With Pull Thru (1)'!$B$123</definedName>
    <definedName name="Tint" localSheetId="44">'Sigma 5 Feed With Pull Thru (2)'!$B$123</definedName>
    <definedName name="Tint" localSheetId="31">Time!$B$40</definedName>
    <definedName name="Tint" localSheetId="35">Time2!$B$40</definedName>
    <definedName name="Tint" localSheetId="39">Time3!$B$40</definedName>
    <definedName name="Tint" localSheetId="47">Time4!$B$40</definedName>
    <definedName name="Tint" localSheetId="51">Time5!$B$40</definedName>
    <definedName name="Tint" localSheetId="55">Time6!$B$40</definedName>
    <definedName name="TOTALREDUCTION" localSheetId="43">#REF!</definedName>
    <definedName name="TOTALREDUCTION" localSheetId="41">#REF!</definedName>
    <definedName name="TQEMPTY" localSheetId="11">'Reel Drive'!$B$35</definedName>
    <definedName name="TQFULL" localSheetId="11">'Reel Drive'!$C$35</definedName>
    <definedName name="TypeOfLine">'Material Specifications'!$B$28</definedName>
    <definedName name="UsePullThrough" localSheetId="1">RFQ!$G$22</definedName>
    <definedName name="vel" localSheetId="48">'Allen Bradley MPL - Feed (1)'!$D$77</definedName>
    <definedName name="vel" localSheetId="52">'Allen Bradley MPL - Feed (2)'!$D$77</definedName>
    <definedName name="vel" localSheetId="28">'Sigma 5 Feed (1)'!$K$79</definedName>
    <definedName name="vel" localSheetId="32">'Sigma 5 Feed (2)'!$K$79</definedName>
    <definedName name="vel" localSheetId="36">'Sigma 5 Feed With Pull Thru (1)'!$K$84</definedName>
    <definedName name="vel" localSheetId="44">'Sigma 5 Feed With Pull Thru (2)'!$K$84</definedName>
    <definedName name="vel" localSheetId="31">Time!$E$60</definedName>
    <definedName name="vel" localSheetId="35">Time2!$E$60</definedName>
    <definedName name="vel" localSheetId="39">Time3!$E$63</definedName>
    <definedName name="vel" localSheetId="47">Time4!$E$63</definedName>
    <definedName name="vel" localSheetId="51">Time5!$E$60</definedName>
    <definedName name="vel" localSheetId="55">Time6!$E$60</definedName>
    <definedName name="VELOCITY" localSheetId="43">#REF!</definedName>
    <definedName name="VELOCITY" localSheetId="41">#REF!</definedName>
    <definedName name="VoltageRequired" localSheetId="1">RFQ!$F$81</definedName>
    <definedName name="width" localSheetId="24">'11 Roll Str. Backbend (1)'!$B$11</definedName>
    <definedName name="width" localSheetId="25">'11 Roll Str. Backbend (2)'!$B$11</definedName>
    <definedName name="width" localSheetId="26">'11 Roll Str. Backbend (3)'!$B$11</definedName>
    <definedName name="width" localSheetId="27">'11 Roll Str. Backbend (4)'!$B$11</definedName>
    <definedName name="width" localSheetId="16">'7 Roll Str. Backbend (1)'!$B$11</definedName>
    <definedName name="width" localSheetId="17">'7 Roll Str. Backbend (2)'!$B$11</definedName>
    <definedName name="width" localSheetId="18">'7 Roll Str. Backbend (3)'!$B$11</definedName>
    <definedName name="width" localSheetId="19">'7 Roll Str. Backbend (4)'!$B$11</definedName>
    <definedName name="width" localSheetId="20">'9 Roll Str. Backbend (1)'!$B$11</definedName>
    <definedName name="width" localSheetId="21">'9 Roll Str. Backbend (2)'!$B$11</definedName>
    <definedName name="width" localSheetId="22">'9 Roll Str. Backbend (3)'!$B$11</definedName>
    <definedName name="width" localSheetId="23">'9 Roll Str. Backbend (4)'!$B$11</definedName>
    <definedName name="width" localSheetId="48">'Allen Bradley MPL - Feed (1)'!$B$10</definedName>
    <definedName name="width" localSheetId="52">'Allen Bradley MPL - Feed (2)'!$B$10</definedName>
    <definedName name="Width" localSheetId="30">Inertia!$B$47</definedName>
    <definedName name="Width" localSheetId="34">Inertia2!$B$47</definedName>
    <definedName name="Width" localSheetId="38">Inertia3!$B$47</definedName>
    <definedName name="Width" localSheetId="46">Inertia4!$B$47</definedName>
    <definedName name="Width" localSheetId="50">Inertia5!$B$47</definedName>
    <definedName name="Width" localSheetId="54">Inertia6!$B$47</definedName>
    <definedName name="WIDTH" localSheetId="11">'Reel Drive'!$C$12</definedName>
    <definedName name="width" localSheetId="28">'Sigma 5 Feed (1)'!$B$10</definedName>
    <definedName name="width" localSheetId="32">'Sigma 5 Feed (2)'!$B$10</definedName>
    <definedName name="width" localSheetId="36">'Sigma 5 Feed With Pull Thru (1)'!$B$10</definedName>
    <definedName name="width" localSheetId="44">'Sigma 5 Feed With Pull Thru (2)'!$B$10</definedName>
    <definedName name="width" localSheetId="7">'TD,DB,HD (1)'!$B$12</definedName>
    <definedName name="width" localSheetId="8">'TD,DB,HD (2)'!$B$10</definedName>
    <definedName name="width" localSheetId="9">'TD,DB,HD (3)'!$B$10</definedName>
    <definedName name="width" localSheetId="10">'TD,DB,HD (4)'!$B$10</definedName>
    <definedName name="width" localSheetId="31">Time!$E$61</definedName>
    <definedName name="width" localSheetId="35">Time2!$E$61</definedName>
    <definedName name="width" localSheetId="39">Time3!$E$64</definedName>
    <definedName name="width" localSheetId="47">Time4!$E$64</definedName>
    <definedName name="width" localSheetId="51">Time5!$E$61</definedName>
    <definedName name="width" localSheetId="55">Time6!$E$61</definedName>
    <definedName name="Width_1" localSheetId="1">RFQ!$I$39</definedName>
    <definedName name="Width_2" localSheetId="1">RFQ!$I$42</definedName>
    <definedName name="Width_3" localSheetId="1">RFQ!$I$45</definedName>
    <definedName name="Width_4" localSheetId="1">RFQ!$I$48</definedName>
    <definedName name="WorkbookSignature">Lookups!$B$1</definedName>
    <definedName name="WorkDays" localSheetId="1">RFQ!$M$18</definedName>
    <definedName name="WorkShifts" localSheetId="1">RFQ!$AA$18</definedName>
    <definedName name="y" localSheetId="7">'TD,DB,HD (1)'!$N$55</definedName>
    <definedName name="y" localSheetId="8">'TD,DB,HD (2)'!$N$51</definedName>
    <definedName name="y" localSheetId="9">'TD,DB,HD (3)'!$N$51</definedName>
    <definedName name="y" localSheetId="10">'TD,DB,HD (4)'!$N$51</definedName>
    <definedName name="yield" localSheetId="24">'11 Roll Str. Backbend (1)'!$B$13</definedName>
    <definedName name="yield" localSheetId="25">'11 Roll Str. Backbend (2)'!$B$13</definedName>
    <definedName name="yield" localSheetId="26">'11 Roll Str. Backbend (3)'!$B$13</definedName>
    <definedName name="yield" localSheetId="27">'11 Roll Str. Backbend (4)'!$B$13</definedName>
    <definedName name="yield" localSheetId="16">'7 Roll Str. Backbend (1)'!$B$13</definedName>
    <definedName name="yield" localSheetId="17">'7 Roll Str. Backbend (2)'!$B$13</definedName>
    <definedName name="yield" localSheetId="18">'7 Roll Str. Backbend (3)'!$B$13</definedName>
    <definedName name="yield" localSheetId="19">'7 Roll Str. Backbend (4)'!$B$13</definedName>
    <definedName name="yield" localSheetId="20">'9 Roll Str. Backbend (1)'!$B$13</definedName>
    <definedName name="yield" localSheetId="21">'9 Roll Str. Backbend (2)'!$B$13</definedName>
    <definedName name="yield" localSheetId="22">'9 Roll Str. Backbend (3)'!$B$13</definedName>
    <definedName name="yield" localSheetId="23">'9 Roll Str. Backbend (4)'!$B$13</definedName>
    <definedName name="yield" localSheetId="12">'Str. Utility (1)'!$B$17</definedName>
    <definedName name="yield" localSheetId="13">'Str. Utility (2)'!$B$17</definedName>
    <definedName name="yield" localSheetId="14">'Str. Utility (3)'!$B$17</definedName>
    <definedName name="yield" localSheetId="15">'Str. Utility (4)'!$B$17</definedName>
    <definedName name="yield" localSheetId="7">'TD,DB,HD (1)'!$B$14</definedName>
    <definedName name="yield" localSheetId="8">'TD,DB,HD (2)'!$B$12</definedName>
    <definedName name="yield" localSheetId="9">'TD,DB,HD (3)'!$B$12</definedName>
    <definedName name="yield" localSheetId="10">'TD,DB,HD (4)'!$B$12</definedName>
    <definedName name="Yield_1" localSheetId="1">RFQ!$Y$38</definedName>
    <definedName name="Yield_2" localSheetId="1">RFQ!$Y$41</definedName>
    <definedName name="Yield_3" localSheetId="1">RFQ!$Y$44</definedName>
    <definedName name="Yield_4" localSheetId="1">RFQ!$Y$47</definedName>
    <definedName name="YieldStrength_1">'Material Specifications'!$B$15</definedName>
    <definedName name="YieldStrength_2">'Material Specifications'!$C$15</definedName>
    <definedName name="YieldStrength_3">'Material Specifications'!$D$15</definedName>
    <definedName name="YieldStrength_4">'Material Specifications'!$E$15</definedName>
    <definedName name="YLD" localSheetId="36">'Sigma 5 Feed With Pull Thru (1)'!$H$15</definedName>
    <definedName name="YLD" localSheetId="44">'Sigma 5 Feed With Pull Thru (2)'!$H$15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5" i="64" l="1"/>
  <c r="I15" i="50"/>
  <c r="F58" i="2" l="1"/>
  <c r="F57" i="2"/>
  <c r="D37" i="34" a="1"/>
  <c r="D37" i="34" s="1"/>
  <c r="B2" i="60" a="1"/>
  <c r="B2" i="60" l="1"/>
  <c r="C333" i="60" l="1"/>
  <c r="A333" i="60" s="1"/>
  <c r="C330" i="60"/>
  <c r="A330" i="60" s="1"/>
  <c r="C301" i="60"/>
  <c r="A301" i="60" s="1"/>
  <c r="B26" i="3" l="1"/>
  <c r="C26" i="3" s="1"/>
  <c r="B52" i="81" l="1"/>
  <c r="B52" i="76"/>
  <c r="B52" i="53"/>
  <c r="B56" i="1"/>
  <c r="C298" i="60" l="1"/>
  <c r="A298" i="60" s="1"/>
  <c r="C294" i="60"/>
  <c r="A294" i="60" s="1"/>
  <c r="A276" i="60"/>
  <c r="A273" i="60"/>
  <c r="F2" i="2" l="1"/>
  <c r="F3" i="2"/>
  <c r="F4" i="2"/>
  <c r="C12" i="3"/>
  <c r="B16" i="3"/>
  <c r="T259" i="60" a="1"/>
  <c r="T259" i="60" s="1"/>
  <c r="R259" i="60" a="1"/>
  <c r="R259" i="60" s="1"/>
  <c r="B8" i="3"/>
  <c r="B12" i="3" s="1"/>
  <c r="P259" i="60" a="1"/>
  <c r="P259" i="60" s="1"/>
  <c r="F12" i="3" l="1"/>
  <c r="B14" i="3"/>
  <c r="D12" i="3"/>
  <c r="E12" i="3"/>
  <c r="C16" i="3" a="1"/>
  <c r="C16" i="3" s="1"/>
  <c r="C314" i="60"/>
  <c r="A314" i="60" s="1"/>
  <c r="C313" i="60"/>
  <c r="A313" i="60" s="1"/>
  <c r="C296" i="60"/>
  <c r="A296" i="60" s="1"/>
  <c r="C297" i="60"/>
  <c r="A297" i="60" s="1"/>
  <c r="C299" i="60"/>
  <c r="A299" i="60" s="1"/>
  <c r="C300" i="60"/>
  <c r="A300" i="60" s="1"/>
  <c r="C302" i="60"/>
  <c r="A302" i="60" s="1"/>
  <c r="C303" i="60"/>
  <c r="A303" i="60" s="1"/>
  <c r="C304" i="60"/>
  <c r="A304" i="60" s="1"/>
  <c r="C305" i="60"/>
  <c r="A305" i="60" s="1"/>
  <c r="C306" i="60"/>
  <c r="A306" i="60" s="1"/>
  <c r="C307" i="60"/>
  <c r="A307" i="60" s="1"/>
  <c r="C308" i="60"/>
  <c r="A308" i="60" s="1"/>
  <c r="C309" i="60"/>
  <c r="A309" i="60" s="1"/>
  <c r="C310" i="60"/>
  <c r="A310" i="60" s="1"/>
  <c r="C311" i="60"/>
  <c r="A311" i="60" s="1"/>
  <c r="C312" i="60"/>
  <c r="A312" i="60" s="1"/>
  <c r="C315" i="60"/>
  <c r="A315" i="60" s="1"/>
  <c r="C316" i="60"/>
  <c r="A316" i="60" s="1"/>
  <c r="C317" i="60"/>
  <c r="A317" i="60" s="1"/>
  <c r="C318" i="60"/>
  <c r="A318" i="60" s="1"/>
  <c r="C319" i="60"/>
  <c r="A319" i="60" s="1"/>
  <c r="C320" i="60"/>
  <c r="A320" i="60" s="1"/>
  <c r="C321" i="60"/>
  <c r="A321" i="60" s="1"/>
  <c r="C322" i="60"/>
  <c r="A322" i="60" s="1"/>
  <c r="C323" i="60"/>
  <c r="A323" i="60" s="1"/>
  <c r="C324" i="60"/>
  <c r="A324" i="60" s="1"/>
  <c r="C325" i="60"/>
  <c r="A325" i="60" s="1"/>
  <c r="C326" i="60"/>
  <c r="A326" i="60" s="1"/>
  <c r="C327" i="60"/>
  <c r="A327" i="60" s="1"/>
  <c r="C328" i="60"/>
  <c r="A328" i="60" s="1"/>
  <c r="C329" i="60"/>
  <c r="A329" i="60" s="1"/>
  <c r="C331" i="60"/>
  <c r="A331" i="60" s="1"/>
  <c r="C332" i="60"/>
  <c r="A332" i="60" s="1"/>
  <c r="C295" i="60"/>
  <c r="A295" i="60" s="1"/>
  <c r="B253" i="60" l="1"/>
  <c r="B254" i="60"/>
  <c r="K259" i="60" l="1" a="1"/>
  <c r="K259" i="60" s="1"/>
  <c r="B256" i="60"/>
  <c r="N259" i="60" a="1"/>
  <c r="N259" i="60" s="1"/>
  <c r="B18" i="56"/>
  <c r="E20" i="56"/>
  <c r="E19" i="56"/>
  <c r="E18" i="56"/>
  <c r="E17" i="56"/>
  <c r="D15" i="56"/>
  <c r="B12" i="56"/>
  <c r="B11" i="56"/>
  <c r="B10" i="56"/>
  <c r="B9" i="56"/>
  <c r="B20" i="56" s="1"/>
  <c r="B20" i="51"/>
  <c r="Q429" i="60" a="1"/>
  <c r="Q429" i="60" s="1"/>
  <c r="K429" i="60" a="1"/>
  <c r="K429" i="60" s="1"/>
  <c r="E429" i="60" a="1"/>
  <c r="E429" i="60" s="1"/>
  <c r="F580" i="60" a="1"/>
  <c r="F580" i="60" s="1"/>
  <c r="F22" i="76" l="1"/>
  <c r="F22" i="53"/>
  <c r="F22" i="81"/>
  <c r="F24" i="1"/>
  <c r="F20" i="1"/>
  <c r="F23" i="1" s="1"/>
  <c r="G20" i="1"/>
  <c r="B22" i="82"/>
  <c r="B20" i="82"/>
  <c r="B10" i="82"/>
  <c r="B9" i="82"/>
  <c r="B22" i="75"/>
  <c r="B20" i="75"/>
  <c r="B10" i="75"/>
  <c r="B9" i="75"/>
  <c r="B22" i="6"/>
  <c r="B20" i="6"/>
  <c r="B10" i="6"/>
  <c r="B9" i="6"/>
  <c r="K2" i="5"/>
  <c r="K3" i="5"/>
  <c r="K4" i="5"/>
  <c r="D580" i="60" a="1"/>
  <c r="D580" i="60" s="1"/>
  <c r="H580" i="60" a="1"/>
  <c r="H580" i="60" s="1"/>
  <c r="G580" i="60" a="1"/>
  <c r="G580" i="60" s="1"/>
  <c r="M41" i="5" s="1"/>
  <c r="E580" i="60" a="1"/>
  <c r="E580" i="60" s="1"/>
  <c r="B20" i="64" l="1"/>
  <c r="E20" i="64"/>
  <c r="E19" i="64"/>
  <c r="E18" i="64"/>
  <c r="E17" i="64"/>
  <c r="D15" i="64"/>
  <c r="B17" i="64"/>
  <c r="B9" i="64"/>
  <c r="B21" i="64" s="1"/>
  <c r="B10" i="64"/>
  <c r="B12" i="64"/>
  <c r="B11" i="64"/>
  <c r="B21" i="50"/>
  <c r="B20" i="41"/>
  <c r="P429" i="60" a="1"/>
  <c r="P429" i="60" s="1"/>
  <c r="J429" i="60" a="1"/>
  <c r="J429" i="60" s="1"/>
  <c r="D429" i="60" a="1"/>
  <c r="D429" i="60" s="1"/>
  <c r="E20" i="54" l="1"/>
  <c r="E19" i="54"/>
  <c r="E18" i="54"/>
  <c r="E17" i="54"/>
  <c r="D15" i="54"/>
  <c r="B18" i="54"/>
  <c r="B11" i="54"/>
  <c r="B12" i="54"/>
  <c r="B10" i="54"/>
  <c r="B9" i="54"/>
  <c r="B20" i="54" s="1"/>
  <c r="B14" i="81"/>
  <c r="B13" i="81"/>
  <c r="B14" i="76"/>
  <c r="B13" i="76"/>
  <c r="B14" i="53"/>
  <c r="B13" i="53"/>
  <c r="G17" i="81"/>
  <c r="G17" i="76"/>
  <c r="G17" i="53"/>
  <c r="B36" i="1"/>
  <c r="H259" i="60" a="1"/>
  <c r="H259" i="60" s="1"/>
  <c r="I259" i="60" a="1"/>
  <c r="I259" i="60" s="1"/>
  <c r="A285" i="60"/>
  <c r="A284" i="60"/>
  <c r="A283" i="60"/>
  <c r="A282" i="60"/>
  <c r="A281" i="60"/>
  <c r="A280" i="60"/>
  <c r="A279" i="60"/>
  <c r="A278" i="60"/>
  <c r="A277" i="60"/>
  <c r="A275" i="60"/>
  <c r="A274" i="60"/>
  <c r="B255" i="60" l="1"/>
  <c r="AE12" i="80" a="1"/>
  <c r="AE12" i="80" s="1"/>
  <c r="B22" i="1" l="1"/>
  <c r="B20" i="76"/>
  <c r="B20" i="53"/>
  <c r="B20" i="81"/>
  <c r="D36" i="1"/>
  <c r="A24" i="60"/>
  <c r="D24" i="60" l="1"/>
  <c r="I24" i="60"/>
  <c r="H24" i="60"/>
  <c r="G24" i="60"/>
  <c r="F24" i="60"/>
  <c r="E24" i="60"/>
  <c r="C24" i="60"/>
  <c r="B24" i="60"/>
  <c r="B31" i="3"/>
  <c r="B8" i="51" l="1"/>
  <c r="B8" i="54"/>
  <c r="B8" i="41"/>
  <c r="B8" i="64"/>
  <c r="B8" i="50"/>
  <c r="B8" i="56"/>
  <c r="B14" i="85"/>
  <c r="B20" i="85" s="1"/>
  <c r="B13" i="85"/>
  <c r="B12" i="85"/>
  <c r="M18" i="85" s="1"/>
  <c r="B11" i="85"/>
  <c r="B14" i="84"/>
  <c r="B20" i="84" s="1"/>
  <c r="B13" i="84"/>
  <c r="B12" i="84"/>
  <c r="K18" i="84" s="1"/>
  <c r="B11" i="84"/>
  <c r="B6" i="85"/>
  <c r="B5" i="85"/>
  <c r="B4" i="85"/>
  <c r="B6" i="84"/>
  <c r="B5" i="84"/>
  <c r="B4" i="84"/>
  <c r="B14" i="83"/>
  <c r="B20" i="83" s="1"/>
  <c r="B13" i="83"/>
  <c r="B12" i="83"/>
  <c r="I18" i="83" s="1"/>
  <c r="J18" i="83" s="1"/>
  <c r="B11" i="83"/>
  <c r="B6" i="83"/>
  <c r="B5" i="83"/>
  <c r="B4" i="83"/>
  <c r="B18" i="82"/>
  <c r="B17" i="82"/>
  <c r="B16" i="82"/>
  <c r="B15" i="82"/>
  <c r="B14" i="82"/>
  <c r="B13" i="82"/>
  <c r="B12" i="81"/>
  <c r="F13" i="81" s="1"/>
  <c r="B11" i="81"/>
  <c r="B10" i="81"/>
  <c r="E30" i="1" s="1"/>
  <c r="B9" i="81"/>
  <c r="O45" i="81" s="1"/>
  <c r="S49" i="82"/>
  <c r="M41" i="82"/>
  <c r="B23" i="82"/>
  <c r="B8" i="82"/>
  <c r="B6" i="82"/>
  <c r="B5" i="82"/>
  <c r="K4" i="82"/>
  <c r="S54" i="82" s="1"/>
  <c r="B4" i="82"/>
  <c r="K3" i="82"/>
  <c r="B15" i="83" s="1"/>
  <c r="B21" i="83" s="1"/>
  <c r="K2" i="82"/>
  <c r="K1" i="82"/>
  <c r="I22" i="82" s="1"/>
  <c r="R53" i="81"/>
  <c r="J18" i="81"/>
  <c r="G18" i="81"/>
  <c r="F18" i="81"/>
  <c r="F21" i="81" s="1"/>
  <c r="B18" i="81"/>
  <c r="F12" i="81" s="1"/>
  <c r="J17" i="81"/>
  <c r="H21" i="81" s="1"/>
  <c r="F17" i="81"/>
  <c r="B17" i="81"/>
  <c r="B8" i="81"/>
  <c r="B6" i="81"/>
  <c r="B5" i="81"/>
  <c r="B4" i="81"/>
  <c r="F3" i="80"/>
  <c r="B15" i="84" l="1"/>
  <c r="B18" i="84" s="1"/>
  <c r="B15" i="85"/>
  <c r="D32" i="85" s="1"/>
  <c r="V55" i="82"/>
  <c r="V56" i="82" s="1"/>
  <c r="E13" i="85"/>
  <c r="E11" i="85"/>
  <c r="E9" i="85" s="1"/>
  <c r="E10" i="85" s="1"/>
  <c r="E11" i="84"/>
  <c r="E12" i="84" s="1"/>
  <c r="E13" i="84"/>
  <c r="O35" i="82"/>
  <c r="V53" i="82"/>
  <c r="E11" i="83"/>
  <c r="B19" i="83"/>
  <c r="B26" i="83" s="1"/>
  <c r="C26" i="83" s="1"/>
  <c r="B18" i="83"/>
  <c r="D32" i="83"/>
  <c r="B22" i="83"/>
  <c r="L33" i="83" s="1"/>
  <c r="B30" i="82"/>
  <c r="M8" i="82" s="1"/>
  <c r="E13" i="83"/>
  <c r="D33" i="83"/>
  <c r="O48" i="81"/>
  <c r="O47" i="81"/>
  <c r="C33" i="82"/>
  <c r="B28" i="82"/>
  <c r="N48" i="82"/>
  <c r="N49" i="82" s="1"/>
  <c r="B33" i="82"/>
  <c r="B34" i="82"/>
  <c r="B60" i="82"/>
  <c r="B27" i="82"/>
  <c r="L28" i="82" s="1"/>
  <c r="B25" i="82"/>
  <c r="O60" i="82" s="1"/>
  <c r="O50" i="82" s="1"/>
  <c r="B59" i="82"/>
  <c r="C34" i="82"/>
  <c r="B35" i="82"/>
  <c r="B29" i="82"/>
  <c r="B26" i="82"/>
  <c r="P12" i="82"/>
  <c r="W30" i="82"/>
  <c r="P2" i="82"/>
  <c r="V31" i="82"/>
  <c r="F25" i="82" s="1"/>
  <c r="S55" i="82"/>
  <c r="S57" i="82" s="1"/>
  <c r="N31" i="82"/>
  <c r="L24" i="82"/>
  <c r="L25" i="82"/>
  <c r="O38" i="82"/>
  <c r="J22" i="81"/>
  <c r="J11" i="81"/>
  <c r="N51" i="81"/>
  <c r="B54" i="81"/>
  <c r="F10" i="81" s="1"/>
  <c r="F14" i="81"/>
  <c r="E22" i="34"/>
  <c r="E18" i="34"/>
  <c r="E19" i="34" s="1"/>
  <c r="B21" i="84" l="1"/>
  <c r="D33" i="84"/>
  <c r="B22" i="84"/>
  <c r="L33" i="84" s="1"/>
  <c r="D32" i="84"/>
  <c r="B19" i="84"/>
  <c r="L38" i="84" s="1"/>
  <c r="D33" i="85"/>
  <c r="B22" i="85"/>
  <c r="L33" i="85" s="1"/>
  <c r="B19" i="85"/>
  <c r="M19" i="85" s="1"/>
  <c r="B18" i="85"/>
  <c r="B21" i="85"/>
  <c r="E12" i="85"/>
  <c r="H33" i="85" s="1"/>
  <c r="E9" i="84"/>
  <c r="E10" i="84" s="1"/>
  <c r="O31" i="82"/>
  <c r="H33" i="84"/>
  <c r="B23" i="83"/>
  <c r="E18" i="83" s="1"/>
  <c r="E19" i="83" s="1"/>
  <c r="F14" i="82"/>
  <c r="L38" i="83"/>
  <c r="K38" i="83"/>
  <c r="J38" i="83"/>
  <c r="I38" i="83"/>
  <c r="P25" i="82"/>
  <c r="I19" i="83"/>
  <c r="E9" i="83"/>
  <c r="E10" i="83" s="1"/>
  <c r="E12" i="83"/>
  <c r="F20" i="81"/>
  <c r="F30" i="1" s="1"/>
  <c r="N24" i="82"/>
  <c r="O24" i="82" s="1"/>
  <c r="O51" i="82"/>
  <c r="O54" i="82"/>
  <c r="O57" i="82" s="1"/>
  <c r="P15" i="82"/>
  <c r="V30" i="82"/>
  <c r="M34" i="82"/>
  <c r="N34" i="82"/>
  <c r="O34" i="82"/>
  <c r="F24" i="82"/>
  <c r="L12" i="82"/>
  <c r="L15" i="82" s="1"/>
  <c r="V12" i="82"/>
  <c r="N51" i="82"/>
  <c r="N54" i="82"/>
  <c r="P1" i="82"/>
  <c r="R12" i="82" s="1"/>
  <c r="V51" i="82"/>
  <c r="V52" i="82"/>
  <c r="V50" i="82"/>
  <c r="S56" i="82"/>
  <c r="S52" i="82"/>
  <c r="V17" i="82"/>
  <c r="U17" i="82"/>
  <c r="S17" i="82"/>
  <c r="T17" i="82"/>
  <c r="N60" i="82"/>
  <c r="N50" i="82" s="1"/>
  <c r="P24" i="82"/>
  <c r="P31" i="82" s="1"/>
  <c r="G14" i="82"/>
  <c r="M1" i="82"/>
  <c r="M2" i="82" s="1"/>
  <c r="M7" i="82" s="1"/>
  <c r="F11" i="81"/>
  <c r="B21" i="81" s="1"/>
  <c r="P70" i="80"/>
  <c r="P69" i="80"/>
  <c r="P68" i="80"/>
  <c r="I14" i="82" l="1"/>
  <c r="B30" i="1"/>
  <c r="V54" i="82"/>
  <c r="K19" i="84"/>
  <c r="B23" i="84"/>
  <c r="E18" i="84" s="1"/>
  <c r="E19" i="84" s="1"/>
  <c r="K38" i="84"/>
  <c r="I38" i="84"/>
  <c r="B26" i="84"/>
  <c r="C26" i="84" s="1"/>
  <c r="J38" i="84"/>
  <c r="B25" i="84"/>
  <c r="B23" i="85"/>
  <c r="E18" i="85" s="1"/>
  <c r="L38" i="85"/>
  <c r="I38" i="85"/>
  <c r="B26" i="85"/>
  <c r="C26" i="85" s="1"/>
  <c r="K38" i="85"/>
  <c r="J38" i="85"/>
  <c r="B25" i="85"/>
  <c r="I34" i="85"/>
  <c r="I39" i="85"/>
  <c r="I33" i="85"/>
  <c r="J33" i="85" s="1"/>
  <c r="I35" i="85"/>
  <c r="J35" i="85" s="1"/>
  <c r="L39" i="85"/>
  <c r="K39" i="85"/>
  <c r="J39" i="85"/>
  <c r="Q31" i="82"/>
  <c r="V49" i="82"/>
  <c r="L39" i="84"/>
  <c r="I35" i="84"/>
  <c r="J35" i="84" s="1"/>
  <c r="I34" i="84"/>
  <c r="K39" i="84"/>
  <c r="J39" i="84"/>
  <c r="I39" i="84"/>
  <c r="I33" i="84"/>
  <c r="J33" i="84" s="1"/>
  <c r="I13" i="82"/>
  <c r="G15" i="83"/>
  <c r="O56" i="82"/>
  <c r="O58" i="82" s="1"/>
  <c r="G19" i="82" s="1"/>
  <c r="G18" i="83"/>
  <c r="G19" i="83" s="1"/>
  <c r="H19" i="83" s="1"/>
  <c r="S53" i="82"/>
  <c r="P35" i="82"/>
  <c r="Q35" i="82" s="1"/>
  <c r="H33" i="83"/>
  <c r="G32" i="83" s="1"/>
  <c r="B25" i="83"/>
  <c r="C25" i="83" s="1"/>
  <c r="H42" i="83"/>
  <c r="I42" i="83" s="1"/>
  <c r="J42" i="83" s="1"/>
  <c r="J43" i="83" s="1"/>
  <c r="F19" i="83"/>
  <c r="E21" i="83"/>
  <c r="L17" i="82"/>
  <c r="R21" i="82"/>
  <c r="S21" i="82" s="1"/>
  <c r="T21" i="82" s="1"/>
  <c r="T22" i="82" s="1"/>
  <c r="M15" i="82"/>
  <c r="S13" i="82"/>
  <c r="S18" i="82"/>
  <c r="S12" i="82"/>
  <c r="T12" i="82" s="1"/>
  <c r="U18" i="82"/>
  <c r="T18" i="82"/>
  <c r="S14" i="82"/>
  <c r="T14" i="82" s="1"/>
  <c r="V18" i="82"/>
  <c r="N12" i="82"/>
  <c r="N15" i="82" s="1"/>
  <c r="N57" i="82"/>
  <c r="N56" i="82" s="1"/>
  <c r="N58" i="82" s="1"/>
  <c r="G18" i="82" s="1"/>
  <c r="P34" i="82"/>
  <c r="Q34" i="82" s="1"/>
  <c r="S34" i="82"/>
  <c r="S35" i="82"/>
  <c r="Q24" i="82"/>
  <c r="K52" i="81"/>
  <c r="J20" i="81"/>
  <c r="J30" i="1" s="1"/>
  <c r="D18" i="34"/>
  <c r="D19" i="34" s="1"/>
  <c r="C18" i="34"/>
  <c r="C19" i="34" s="1"/>
  <c r="B18" i="34"/>
  <c r="B19" i="34" s="1"/>
  <c r="V62" i="82" l="1"/>
  <c r="G18" i="84"/>
  <c r="I18" i="84" s="1"/>
  <c r="I19" i="84" s="1"/>
  <c r="V59" i="82"/>
  <c r="C25" i="84"/>
  <c r="C25" i="85"/>
  <c r="G18" i="85"/>
  <c r="E19" i="85"/>
  <c r="V60" i="82"/>
  <c r="V61" i="82"/>
  <c r="K37" i="85"/>
  <c r="K40" i="85" s="1"/>
  <c r="K41" i="85" s="1"/>
  <c r="L37" i="85"/>
  <c r="L40" i="85" s="1"/>
  <c r="L41" i="85" s="1"/>
  <c r="K33" i="85" s="1"/>
  <c r="M33" i="85" s="1"/>
  <c r="J37" i="85"/>
  <c r="J40" i="85" s="1"/>
  <c r="J41" i="85" s="1"/>
  <c r="I37" i="85"/>
  <c r="I40" i="85" s="1"/>
  <c r="I41" i="85" s="1"/>
  <c r="I37" i="84"/>
  <c r="I40" i="84" s="1"/>
  <c r="I41" i="84" s="1"/>
  <c r="K37" i="84"/>
  <c r="K40" i="84" s="1"/>
  <c r="K41" i="84" s="1"/>
  <c r="E21" i="84"/>
  <c r="F19" i="84"/>
  <c r="G32" i="84"/>
  <c r="H42" i="84"/>
  <c r="I42" i="84" s="1"/>
  <c r="J42" i="84" s="1"/>
  <c r="J43" i="84" s="1"/>
  <c r="J37" i="84"/>
  <c r="J40" i="84" s="1"/>
  <c r="J41" i="84" s="1"/>
  <c r="L37" i="84"/>
  <c r="L40" i="84" s="1"/>
  <c r="L41" i="84" s="1"/>
  <c r="K33" i="84" s="1"/>
  <c r="M33" i="84" s="1"/>
  <c r="I35" i="83"/>
  <c r="J35" i="83" s="1"/>
  <c r="I34" i="83"/>
  <c r="L39" i="83"/>
  <c r="K39" i="83"/>
  <c r="J39" i="83"/>
  <c r="I39" i="83"/>
  <c r="I33" i="83"/>
  <c r="J33" i="83" s="1"/>
  <c r="E22" i="83"/>
  <c r="E14" i="83"/>
  <c r="E26" i="83"/>
  <c r="B27" i="83" s="1"/>
  <c r="F29" i="82"/>
  <c r="S16" i="82"/>
  <c r="S19" i="82" s="1"/>
  <c r="S20" i="82" s="1"/>
  <c r="V16" i="82"/>
  <c r="V19" i="82" s="1"/>
  <c r="V20" i="82" s="1"/>
  <c r="U12" i="82" s="1"/>
  <c r="W12" i="82" s="1"/>
  <c r="O15" i="82"/>
  <c r="T16" i="82"/>
  <c r="T19" i="82" s="1"/>
  <c r="T20" i="82" s="1"/>
  <c r="U16" i="82"/>
  <c r="U19" i="82" s="1"/>
  <c r="U20" i="82" s="1"/>
  <c r="L18" i="82"/>
  <c r="L14" i="82"/>
  <c r="D62" i="81"/>
  <c r="D61" i="81"/>
  <c r="D60" i="81"/>
  <c r="D59" i="81"/>
  <c r="D58" i="81"/>
  <c r="J21" i="81" l="1"/>
  <c r="B23" i="81" s="1"/>
  <c r="G19" i="84"/>
  <c r="H19" i="84" s="1"/>
  <c r="V63" i="82"/>
  <c r="V58" i="82" s="1"/>
  <c r="C52" i="82" s="1"/>
  <c r="F19" i="85"/>
  <c r="E21" i="85"/>
  <c r="G32" i="85"/>
  <c r="H42" i="85"/>
  <c r="I42" i="85" s="1"/>
  <c r="J42" i="85" s="1"/>
  <c r="J43" i="85" s="1"/>
  <c r="I18" i="85"/>
  <c r="G19" i="85"/>
  <c r="H19" i="85" s="1"/>
  <c r="E22" i="84"/>
  <c r="E14" i="84"/>
  <c r="E26" i="84"/>
  <c r="B27" i="84" s="1"/>
  <c r="J19" i="84"/>
  <c r="J37" i="83"/>
  <c r="J40" i="83" s="1"/>
  <c r="J41" i="83" s="1"/>
  <c r="I37" i="83"/>
  <c r="I40" i="83" s="1"/>
  <c r="I41" i="83" s="1"/>
  <c r="K37" i="83"/>
  <c r="K40" i="83" s="1"/>
  <c r="K41" i="83" s="1"/>
  <c r="L37" i="83"/>
  <c r="L40" i="83" s="1"/>
  <c r="L41" i="83" s="1"/>
  <c r="K33" i="83" s="1"/>
  <c r="M33" i="83" s="1"/>
  <c r="E23" i="83"/>
  <c r="E25" i="83" s="1"/>
  <c r="E28" i="83" s="1"/>
  <c r="F21" i="83" s="1"/>
  <c r="E24" i="83"/>
  <c r="E27" i="83"/>
  <c r="I24" i="82" a="1"/>
  <c r="I24" i="82" s="1"/>
  <c r="L22" i="82"/>
  <c r="T7" i="82"/>
  <c r="L19" i="82"/>
  <c r="L20" i="82" s="1"/>
  <c r="L21" i="82" s="1"/>
  <c r="M17" i="82" s="1"/>
  <c r="L13" i="82"/>
  <c r="S7" i="82" s="1"/>
  <c r="B14" i="79"/>
  <c r="B20" i="79" s="1"/>
  <c r="B13" i="79"/>
  <c r="B12" i="79"/>
  <c r="B11" i="79"/>
  <c r="B6" i="79"/>
  <c r="B5" i="79"/>
  <c r="B4" i="79"/>
  <c r="B14" i="78"/>
  <c r="B20" i="78" s="1"/>
  <c r="B13" i="78"/>
  <c r="B12" i="78"/>
  <c r="K18" i="78" s="1"/>
  <c r="B11" i="78"/>
  <c r="B6" i="78"/>
  <c r="B5" i="78"/>
  <c r="B4" i="78"/>
  <c r="B14" i="77"/>
  <c r="B20" i="77" s="1"/>
  <c r="B13" i="77"/>
  <c r="B12" i="77"/>
  <c r="I18" i="77" s="1"/>
  <c r="J18" i="77" s="1"/>
  <c r="B11" i="77"/>
  <c r="B6" i="77"/>
  <c r="B5" i="77"/>
  <c r="B4" i="77"/>
  <c r="B12" i="76"/>
  <c r="F13" i="76" s="1"/>
  <c r="B11" i="76"/>
  <c r="B10" i="76"/>
  <c r="E29" i="1" s="1"/>
  <c r="B9" i="76"/>
  <c r="O45" i="76" s="1"/>
  <c r="R53" i="76"/>
  <c r="J18" i="76"/>
  <c r="G18" i="76"/>
  <c r="F18" i="76"/>
  <c r="F21" i="76" s="1"/>
  <c r="B18" i="76"/>
  <c r="F12" i="76" s="1"/>
  <c r="J17" i="76"/>
  <c r="F17" i="76"/>
  <c r="B17" i="76"/>
  <c r="B8" i="76"/>
  <c r="B6" i="76"/>
  <c r="B5" i="76"/>
  <c r="B4" i="76"/>
  <c r="B18" i="75"/>
  <c r="B30" i="75" s="1"/>
  <c r="B17" i="75"/>
  <c r="B16" i="75"/>
  <c r="P12" i="75" s="1"/>
  <c r="B15" i="75"/>
  <c r="B14" i="75"/>
  <c r="B13" i="75"/>
  <c r="S49" i="75"/>
  <c r="M41" i="75"/>
  <c r="B23" i="75"/>
  <c r="B8" i="75"/>
  <c r="B6" i="75"/>
  <c r="B5" i="75"/>
  <c r="K4" i="75"/>
  <c r="B4" i="75"/>
  <c r="K3" i="75"/>
  <c r="K2" i="75"/>
  <c r="K1" i="75"/>
  <c r="I22" i="75" s="1"/>
  <c r="B18" i="3"/>
  <c r="D18" i="3"/>
  <c r="C18" i="3"/>
  <c r="C30" i="1" l="1"/>
  <c r="I30" i="1"/>
  <c r="V69" i="82"/>
  <c r="I19" i="85"/>
  <c r="J19" i="85" s="1"/>
  <c r="K18" i="85"/>
  <c r="K19" i="85" s="1"/>
  <c r="L19" i="85" s="1"/>
  <c r="E22" i="85"/>
  <c r="E14" i="85"/>
  <c r="E26" i="85"/>
  <c r="B27" i="85" s="1"/>
  <c r="J22" i="76"/>
  <c r="E23" i="84"/>
  <c r="E25" i="84" s="1"/>
  <c r="E27" i="84" s="1"/>
  <c r="F21" i="84" s="1"/>
  <c r="E24" i="84"/>
  <c r="F22" i="83"/>
  <c r="F23" i="83" s="1"/>
  <c r="F25" i="83" s="1"/>
  <c r="F28" i="83" s="1"/>
  <c r="G21" i="83" s="1"/>
  <c r="F26" i="83"/>
  <c r="M18" i="82"/>
  <c r="M19" i="82" s="1"/>
  <c r="M20" i="82" s="1"/>
  <c r="M21" i="82" s="1"/>
  <c r="N17" i="82" s="1"/>
  <c r="M14" i="82"/>
  <c r="C33" i="75"/>
  <c r="B15" i="79"/>
  <c r="D33" i="79" s="1"/>
  <c r="B15" i="78"/>
  <c r="B18" i="78" s="1"/>
  <c r="B15" i="77"/>
  <c r="B19" i="77" s="1"/>
  <c r="L38" i="77" s="1"/>
  <c r="B25" i="75"/>
  <c r="P25" i="75" s="1"/>
  <c r="B35" i="75"/>
  <c r="B34" i="75"/>
  <c r="O51" i="75" s="1"/>
  <c r="E11" i="79"/>
  <c r="E9" i="79" s="1"/>
  <c r="E10" i="79" s="1"/>
  <c r="E13" i="79"/>
  <c r="M18" i="79"/>
  <c r="E11" i="78"/>
  <c r="E13" i="78"/>
  <c r="E11" i="77"/>
  <c r="E12" i="77" s="1"/>
  <c r="E13" i="77"/>
  <c r="J11" i="76"/>
  <c r="F14" i="76"/>
  <c r="O47" i="76"/>
  <c r="H21" i="76"/>
  <c r="N51" i="76"/>
  <c r="V55" i="75"/>
  <c r="V56" i="75" s="1"/>
  <c r="B54" i="76"/>
  <c r="F10" i="76" s="1"/>
  <c r="O48" i="76"/>
  <c r="M8" i="75"/>
  <c r="P1" i="75" s="1"/>
  <c r="R12" i="75" s="1"/>
  <c r="V31" i="75"/>
  <c r="F25" i="75" s="1"/>
  <c r="F24" i="75" s="1"/>
  <c r="S54" i="75"/>
  <c r="L25" i="75"/>
  <c r="L24" i="75"/>
  <c r="S55" i="75"/>
  <c r="V53" i="75"/>
  <c r="W30" i="75"/>
  <c r="N31" i="75"/>
  <c r="C34" i="75"/>
  <c r="O35" i="75"/>
  <c r="B59" i="75"/>
  <c r="B26" i="75"/>
  <c r="B29" i="75"/>
  <c r="B27" i="75"/>
  <c r="L28" i="75" s="1"/>
  <c r="B60" i="75"/>
  <c r="P2" i="75"/>
  <c r="B33" i="75"/>
  <c r="O38" i="75"/>
  <c r="N48" i="75"/>
  <c r="N49" i="75" s="1"/>
  <c r="B28" i="75"/>
  <c r="E23" i="85" l="1"/>
  <c r="E25" i="85" s="1"/>
  <c r="E27" i="85" s="1"/>
  <c r="F21" i="85" s="1"/>
  <c r="E24" i="85"/>
  <c r="F22" i="84"/>
  <c r="F23" i="84" s="1"/>
  <c r="F25" i="84" s="1"/>
  <c r="F27" i="84" s="1"/>
  <c r="G21" i="84" s="1"/>
  <c r="F26" i="84"/>
  <c r="D32" i="79"/>
  <c r="G14" i="83"/>
  <c r="G22" i="83"/>
  <c r="G26" i="83"/>
  <c r="G27" i="83" s="1"/>
  <c r="B18" i="79"/>
  <c r="N18" i="82"/>
  <c r="N14" i="82"/>
  <c r="N22" i="82" s="1"/>
  <c r="B21" i="78"/>
  <c r="B21" i="79"/>
  <c r="V51" i="75"/>
  <c r="O60" i="75"/>
  <c r="O50" i="75" s="1"/>
  <c r="V52" i="75"/>
  <c r="V50" i="75"/>
  <c r="S52" i="75"/>
  <c r="S56" i="75"/>
  <c r="B21" i="77"/>
  <c r="D32" i="78"/>
  <c r="B19" i="79"/>
  <c r="I38" i="79" s="1"/>
  <c r="B22" i="79"/>
  <c r="L33" i="79" s="1"/>
  <c r="D33" i="77"/>
  <c r="B19" i="78"/>
  <c r="L38" i="78" s="1"/>
  <c r="B22" i="77"/>
  <c r="L33" i="77" s="1"/>
  <c r="B18" i="77"/>
  <c r="D32" i="77"/>
  <c r="J38" i="77"/>
  <c r="I38" i="77"/>
  <c r="B22" i="78"/>
  <c r="L33" i="78" s="1"/>
  <c r="D33" i="78"/>
  <c r="O54" i="75"/>
  <c r="B26" i="77"/>
  <c r="K38" i="77"/>
  <c r="E12" i="79"/>
  <c r="E9" i="77"/>
  <c r="E10" i="77" s="1"/>
  <c r="E12" i="78"/>
  <c r="E9" i="78"/>
  <c r="E10" i="78" s="1"/>
  <c r="H33" i="77"/>
  <c r="B25" i="77"/>
  <c r="F20" i="76"/>
  <c r="F29" i="1" s="1"/>
  <c r="F11" i="76"/>
  <c r="B21" i="76" s="1"/>
  <c r="F14" i="75"/>
  <c r="N24" i="75"/>
  <c r="O24" i="75" s="1"/>
  <c r="M34" i="75"/>
  <c r="V30" i="75"/>
  <c r="M1" i="75"/>
  <c r="M2" i="75" s="1"/>
  <c r="M7" i="75" s="1"/>
  <c r="N34" i="75"/>
  <c r="O34" i="75"/>
  <c r="S57" i="75"/>
  <c r="G14" i="75"/>
  <c r="O31" i="75"/>
  <c r="P15" i="75"/>
  <c r="T17" i="75"/>
  <c r="S17" i="75"/>
  <c r="V17" i="75"/>
  <c r="U17" i="75"/>
  <c r="P24" i="75"/>
  <c r="P31" i="75" s="1"/>
  <c r="U18" i="75"/>
  <c r="V18" i="75"/>
  <c r="T18" i="75"/>
  <c r="S18" i="75"/>
  <c r="S14" i="75"/>
  <c r="T14" i="75" s="1"/>
  <c r="S13" i="75"/>
  <c r="S12" i="75"/>
  <c r="T12" i="75" s="1"/>
  <c r="L12" i="75"/>
  <c r="V12" i="75"/>
  <c r="N51" i="75"/>
  <c r="N54" i="75"/>
  <c r="N60" i="75"/>
  <c r="N50" i="75" s="1"/>
  <c r="I14" i="75" l="1"/>
  <c r="B29" i="1"/>
  <c r="V54" i="75"/>
  <c r="F22" i="85"/>
  <c r="F23" i="85" s="1"/>
  <c r="F25" i="85" s="1"/>
  <c r="F27" i="85" s="1"/>
  <c r="G21" i="85" s="1"/>
  <c r="F26" i="85"/>
  <c r="G14" i="84"/>
  <c r="G22" i="84"/>
  <c r="G26" i="84"/>
  <c r="G23" i="83"/>
  <c r="G25" i="83" s="1"/>
  <c r="G28" i="83" s="1"/>
  <c r="H21" i="83" s="1"/>
  <c r="G24" i="83"/>
  <c r="N19" i="82"/>
  <c r="N20" i="82" s="1"/>
  <c r="N21" i="82" s="1"/>
  <c r="O17" i="82" s="1"/>
  <c r="N13" i="82"/>
  <c r="J38" i="79"/>
  <c r="O57" i="75"/>
  <c r="O56" i="75" s="1"/>
  <c r="O58" i="75" s="1"/>
  <c r="G19" i="75" s="1"/>
  <c r="K38" i="79"/>
  <c r="C26" i="77"/>
  <c r="S53" i="75"/>
  <c r="V49" i="75"/>
  <c r="L38" i="79"/>
  <c r="M19" i="79"/>
  <c r="J38" i="78"/>
  <c r="I19" i="77"/>
  <c r="B25" i="79"/>
  <c r="B26" i="79"/>
  <c r="C26" i="79" s="1"/>
  <c r="B23" i="77"/>
  <c r="E18" i="77" s="1"/>
  <c r="E19" i="77" s="1"/>
  <c r="H42" i="77" s="1"/>
  <c r="I42" i="77" s="1"/>
  <c r="J42" i="77" s="1"/>
  <c r="J43" i="77" s="1"/>
  <c r="B23" i="79"/>
  <c r="E18" i="79" s="1"/>
  <c r="G18" i="79" s="1"/>
  <c r="I38" i="78"/>
  <c r="K38" i="78"/>
  <c r="B26" i="78"/>
  <c r="C26" i="78" s="1"/>
  <c r="B23" i="78"/>
  <c r="E18" i="78" s="1"/>
  <c r="G18" i="78" s="1"/>
  <c r="G19" i="78" s="1"/>
  <c r="H19" i="78" s="1"/>
  <c r="K19" i="78"/>
  <c r="H33" i="79"/>
  <c r="K39" i="79" s="1"/>
  <c r="I13" i="75"/>
  <c r="H33" i="78"/>
  <c r="B25" i="78"/>
  <c r="I35" i="77"/>
  <c r="J35" i="77" s="1"/>
  <c r="L39" i="77"/>
  <c r="I34" i="77"/>
  <c r="J39" i="77"/>
  <c r="I39" i="77"/>
  <c r="I33" i="77"/>
  <c r="J33" i="77" s="1"/>
  <c r="K39" i="77"/>
  <c r="Q24" i="75"/>
  <c r="P34" i="75"/>
  <c r="Q34" i="75" s="1"/>
  <c r="J20" i="76"/>
  <c r="J29" i="1" s="1"/>
  <c r="K52" i="76"/>
  <c r="N57" i="75"/>
  <c r="N56" i="75" s="1"/>
  <c r="N58" i="75" s="1"/>
  <c r="G18" i="75" s="1"/>
  <c r="S16" i="75"/>
  <c r="S19" i="75" s="1"/>
  <c r="S20" i="75" s="1"/>
  <c r="U16" i="75"/>
  <c r="U19" i="75" s="1"/>
  <c r="U20" i="75" s="1"/>
  <c r="N12" i="75"/>
  <c r="N15" i="75" s="1"/>
  <c r="L15" i="75"/>
  <c r="Q31" i="75"/>
  <c r="S35" i="75"/>
  <c r="T16" i="75"/>
  <c r="T19" i="75" s="1"/>
  <c r="T20" i="75" s="1"/>
  <c r="V16" i="75"/>
  <c r="V19" i="75" s="1"/>
  <c r="V20" i="75" s="1"/>
  <c r="U12" i="75" s="1"/>
  <c r="W12" i="75" s="1"/>
  <c r="P35" i="75"/>
  <c r="Q35" i="75" s="1"/>
  <c r="S34" i="75"/>
  <c r="V62" i="75" l="1"/>
  <c r="G14" i="85"/>
  <c r="G22" i="85"/>
  <c r="G26" i="85"/>
  <c r="G24" i="84"/>
  <c r="G23" i="84"/>
  <c r="G25" i="84" s="1"/>
  <c r="G27" i="84" s="1"/>
  <c r="H21" i="84" s="1"/>
  <c r="H22" i="83"/>
  <c r="H23" i="83" s="1"/>
  <c r="H25" i="83" s="1"/>
  <c r="H28" i="83" s="1"/>
  <c r="I21" i="83" s="1"/>
  <c r="H26" i="83"/>
  <c r="O18" i="82"/>
  <c r="O19" i="82" s="1"/>
  <c r="O20" i="82" s="1"/>
  <c r="O21" i="82" s="1"/>
  <c r="P17" i="82" s="1"/>
  <c r="O14" i="82"/>
  <c r="V60" i="75"/>
  <c r="G15" i="77"/>
  <c r="V59" i="75"/>
  <c r="V61" i="75"/>
  <c r="E21" i="77"/>
  <c r="E22" i="77" s="1"/>
  <c r="F19" i="77"/>
  <c r="G18" i="77"/>
  <c r="G19" i="77" s="1"/>
  <c r="H19" i="77" s="1"/>
  <c r="G32" i="77"/>
  <c r="C25" i="77"/>
  <c r="E19" i="79"/>
  <c r="G32" i="79" s="1"/>
  <c r="I18" i="78"/>
  <c r="I19" i="78" s="1"/>
  <c r="J19" i="78" s="1"/>
  <c r="L39" i="79"/>
  <c r="L37" i="79" s="1"/>
  <c r="L40" i="79" s="1"/>
  <c r="L41" i="79" s="1"/>
  <c r="K33" i="79" s="1"/>
  <c r="M33" i="79" s="1"/>
  <c r="I34" i="79"/>
  <c r="C25" i="78"/>
  <c r="C25" i="79"/>
  <c r="I35" i="79"/>
  <c r="J35" i="79" s="1"/>
  <c r="E19" i="78"/>
  <c r="F19" i="78" s="1"/>
  <c r="J39" i="79"/>
  <c r="J37" i="79" s="1"/>
  <c r="J40" i="79" s="1"/>
  <c r="J41" i="79" s="1"/>
  <c r="I33" i="79"/>
  <c r="J33" i="79" s="1"/>
  <c r="I39" i="79"/>
  <c r="I37" i="79" s="1"/>
  <c r="I40" i="79" s="1"/>
  <c r="I41" i="79" s="1"/>
  <c r="K37" i="79"/>
  <c r="K40" i="79" s="1"/>
  <c r="K41" i="79" s="1"/>
  <c r="I18" i="79"/>
  <c r="G19" i="79"/>
  <c r="I35" i="78"/>
  <c r="J35" i="78" s="1"/>
  <c r="I34" i="78"/>
  <c r="L39" i="78"/>
  <c r="K39" i="78"/>
  <c r="J39" i="78"/>
  <c r="I39" i="78"/>
  <c r="I33" i="78"/>
  <c r="J33" i="78" s="1"/>
  <c r="L37" i="77"/>
  <c r="L40" i="77" s="1"/>
  <c r="L41" i="77" s="1"/>
  <c r="K33" i="77" s="1"/>
  <c r="M33" i="77" s="1"/>
  <c r="I37" i="77"/>
  <c r="I40" i="77" s="1"/>
  <c r="I41" i="77" s="1"/>
  <c r="K37" i="77"/>
  <c r="K40" i="77" s="1"/>
  <c r="K41" i="77" s="1"/>
  <c r="J37" i="77"/>
  <c r="J40" i="77" s="1"/>
  <c r="J41" i="77" s="1"/>
  <c r="D62" i="76"/>
  <c r="D61" i="76"/>
  <c r="D58" i="76"/>
  <c r="D60" i="76"/>
  <c r="D59" i="76"/>
  <c r="F29" i="75"/>
  <c r="M15" i="75"/>
  <c r="R21" i="75"/>
  <c r="S21" i="75" s="1"/>
  <c r="T21" i="75" s="1"/>
  <c r="T22" i="75" s="1"/>
  <c r="L17" i="75"/>
  <c r="O15" i="75"/>
  <c r="J21" i="76" l="1"/>
  <c r="B23" i="76" s="1"/>
  <c r="G24" i="85"/>
  <c r="G23" i="85"/>
  <c r="G25" i="85" s="1"/>
  <c r="G27" i="85" s="1"/>
  <c r="H21" i="85" s="1"/>
  <c r="H22" i="84"/>
  <c r="H23" i="84" s="1"/>
  <c r="H25" i="84" s="1"/>
  <c r="H27" i="84" s="1"/>
  <c r="I21" i="84" s="1"/>
  <c r="H26" i="84"/>
  <c r="I22" i="83"/>
  <c r="I14" i="83"/>
  <c r="I26" i="83"/>
  <c r="I27" i="83" s="1"/>
  <c r="P18" i="82"/>
  <c r="P14" i="82"/>
  <c r="P22" i="82" s="1"/>
  <c r="V63" i="75"/>
  <c r="V58" i="75" s="1"/>
  <c r="C52" i="75" s="1"/>
  <c r="E26" i="77"/>
  <c r="E14" i="77"/>
  <c r="F19" i="79"/>
  <c r="E21" i="79"/>
  <c r="E26" i="79" s="1"/>
  <c r="B27" i="79" s="1"/>
  <c r="H42" i="79"/>
  <c r="I42" i="79" s="1"/>
  <c r="J42" i="79" s="1"/>
  <c r="J43" i="79" s="1"/>
  <c r="E21" i="78"/>
  <c r="E22" i="78" s="1"/>
  <c r="E24" i="78" s="1"/>
  <c r="G32" i="78"/>
  <c r="H42" i="78"/>
  <c r="I42" i="78" s="1"/>
  <c r="J42" i="78" s="1"/>
  <c r="J43" i="78" s="1"/>
  <c r="H19" i="79"/>
  <c r="K18" i="79"/>
  <c r="K19" i="79" s="1"/>
  <c r="I19" i="79"/>
  <c r="K37" i="78"/>
  <c r="K40" i="78" s="1"/>
  <c r="K41" i="78" s="1"/>
  <c r="L37" i="78"/>
  <c r="L40" i="78" s="1"/>
  <c r="L41" i="78" s="1"/>
  <c r="K33" i="78" s="1"/>
  <c r="M33" i="78" s="1"/>
  <c r="I37" i="78"/>
  <c r="I40" i="78" s="1"/>
  <c r="I41" i="78" s="1"/>
  <c r="J37" i="78"/>
  <c r="J40" i="78" s="1"/>
  <c r="J41" i="78" s="1"/>
  <c r="E23" i="77"/>
  <c r="E25" i="77" s="1"/>
  <c r="E28" i="77" s="1"/>
  <c r="F21" i="77" s="1"/>
  <c r="E24" i="77"/>
  <c r="L18" i="75"/>
  <c r="L14" i="75"/>
  <c r="C29" i="1" l="1"/>
  <c r="I29" i="1"/>
  <c r="E27" i="77"/>
  <c r="B27" i="77"/>
  <c r="H22" i="85"/>
  <c r="H23" i="85" s="1"/>
  <c r="H25" i="85" s="1"/>
  <c r="H27" i="85" s="1"/>
  <c r="I21" i="85" s="1"/>
  <c r="H26" i="85"/>
  <c r="I14" i="84"/>
  <c r="I22" i="84"/>
  <c r="I26" i="84"/>
  <c r="I24" i="83"/>
  <c r="J24" i="83" s="1"/>
  <c r="I23" i="83"/>
  <c r="I25" i="83" s="1"/>
  <c r="I28" i="83" s="1"/>
  <c r="P13" i="82"/>
  <c r="P19" i="82"/>
  <c r="P20" i="82" s="1"/>
  <c r="P21" i="82" s="1"/>
  <c r="V69" i="75"/>
  <c r="E14" i="79"/>
  <c r="E22" i="79"/>
  <c r="E23" i="79" s="1"/>
  <c r="E25" i="79" s="1"/>
  <c r="E27" i="79" s="1"/>
  <c r="F21" i="79" s="1"/>
  <c r="E14" i="78"/>
  <c r="E26" i="78"/>
  <c r="B27" i="78" s="1"/>
  <c r="E23" i="78"/>
  <c r="E25" i="78" s="1"/>
  <c r="E27" i="78" s="1"/>
  <c r="F21" i="78" s="1"/>
  <c r="F26" i="78" s="1"/>
  <c r="J19" i="79"/>
  <c r="L19" i="79"/>
  <c r="F22" i="77"/>
  <c r="F23" i="77" s="1"/>
  <c r="F25" i="77" s="1"/>
  <c r="F28" i="77" s="1"/>
  <c r="G21" i="77" s="1"/>
  <c r="F26" i="77"/>
  <c r="T7" i="75"/>
  <c r="L22" i="75"/>
  <c r="L13" i="75"/>
  <c r="S7" i="75" s="1"/>
  <c r="L19" i="75"/>
  <c r="L20" i="75" s="1"/>
  <c r="L21" i="75" s="1"/>
  <c r="M17" i="75" s="1"/>
  <c r="I22" i="85" l="1"/>
  <c r="I26" i="85"/>
  <c r="I14" i="85"/>
  <c r="I24" i="84"/>
  <c r="I23" i="84"/>
  <c r="I25" i="84" s="1"/>
  <c r="I27" i="84" s="1"/>
  <c r="J21" i="84" s="1"/>
  <c r="I24" i="75" a="1"/>
  <c r="I24" i="75" s="1"/>
  <c r="E24" i="79"/>
  <c r="F22" i="78"/>
  <c r="F23" i="78" s="1"/>
  <c r="F25" i="78" s="1"/>
  <c r="F27" i="78" s="1"/>
  <c r="G21" i="78" s="1"/>
  <c r="G22" i="78" s="1"/>
  <c r="G24" i="78" s="1"/>
  <c r="F26" i="79"/>
  <c r="F22" i="79"/>
  <c r="F23" i="79" s="1"/>
  <c r="F25" i="79" s="1"/>
  <c r="F27" i="79" s="1"/>
  <c r="G21" i="79" s="1"/>
  <c r="G22" i="77"/>
  <c r="G14" i="77"/>
  <c r="G26" i="77"/>
  <c r="G27" i="77" s="1"/>
  <c r="M18" i="75"/>
  <c r="M19" i="75" s="1"/>
  <c r="M20" i="75" s="1"/>
  <c r="M21" i="75" s="1"/>
  <c r="N17" i="75" s="1"/>
  <c r="M14" i="75"/>
  <c r="I23" i="85" l="1"/>
  <c r="I25" i="85" s="1"/>
  <c r="I27" i="85" s="1"/>
  <c r="J21" i="85" s="1"/>
  <c r="I24" i="85"/>
  <c r="J22" i="84"/>
  <c r="J23" i="84" s="1"/>
  <c r="J25" i="84" s="1"/>
  <c r="J27" i="84" s="1"/>
  <c r="K21" i="84" s="1"/>
  <c r="J26" i="84"/>
  <c r="G23" i="78"/>
  <c r="G25" i="78" s="1"/>
  <c r="G27" i="78" s="1"/>
  <c r="H21" i="78" s="1"/>
  <c r="H22" i="78" s="1"/>
  <c r="H23" i="78" s="1"/>
  <c r="H25" i="78" s="1"/>
  <c r="H27" i="78" s="1"/>
  <c r="I21" i="78" s="1"/>
  <c r="G14" i="78"/>
  <c r="G26" i="78"/>
  <c r="G14" i="79"/>
  <c r="G22" i="79"/>
  <c r="G26" i="79"/>
  <c r="G23" i="77"/>
  <c r="G25" i="77" s="1"/>
  <c r="G28" i="77" s="1"/>
  <c r="H21" i="77" s="1"/>
  <c r="G24" i="77"/>
  <c r="N18" i="75"/>
  <c r="N14" i="75"/>
  <c r="N22" i="75" s="1"/>
  <c r="J26" i="85" l="1"/>
  <c r="J22" i="85"/>
  <c r="J23" i="85" s="1"/>
  <c r="J25" i="85" s="1"/>
  <c r="J27" i="85" s="1"/>
  <c r="K22" i="84"/>
  <c r="K14" i="84"/>
  <c r="K26" i="84"/>
  <c r="H26" i="78"/>
  <c r="G24" i="79"/>
  <c r="G23" i="79"/>
  <c r="G25" i="79" s="1"/>
  <c r="G27" i="79" s="1"/>
  <c r="H21" i="79" s="1"/>
  <c r="I14" i="78"/>
  <c r="I22" i="78"/>
  <c r="I26" i="78"/>
  <c r="H22" i="77"/>
  <c r="H23" i="77" s="1"/>
  <c r="H25" i="77" s="1"/>
  <c r="H28" i="77" s="1"/>
  <c r="I21" i="77" s="1"/>
  <c r="H26" i="77"/>
  <c r="N19" i="75"/>
  <c r="N20" i="75" s="1"/>
  <c r="N21" i="75" s="1"/>
  <c r="O17" i="75" s="1"/>
  <c r="N13" i="75"/>
  <c r="K21" i="85" l="1"/>
  <c r="M21" i="85"/>
  <c r="K23" i="84"/>
  <c r="K25" i="84" s="1"/>
  <c r="K27" i="84" s="1"/>
  <c r="K24" i="84"/>
  <c r="L24" i="84" s="1"/>
  <c r="H22" i="79"/>
  <c r="H23" i="79" s="1"/>
  <c r="H25" i="79" s="1"/>
  <c r="H27" i="79" s="1"/>
  <c r="I21" i="79" s="1"/>
  <c r="H26" i="79"/>
  <c r="I23" i="78"/>
  <c r="I25" i="78" s="1"/>
  <c r="I27" i="78" s="1"/>
  <c r="J21" i="78" s="1"/>
  <c r="I24" i="78"/>
  <c r="I14" i="77"/>
  <c r="I22" i="77"/>
  <c r="I26" i="77"/>
  <c r="I27" i="77" s="1"/>
  <c r="O18" i="75"/>
  <c r="O19" i="75" s="1"/>
  <c r="O20" i="75" s="1"/>
  <c r="O21" i="75" s="1"/>
  <c r="P17" i="75" s="1"/>
  <c r="O14" i="75"/>
  <c r="M14" i="85" l="1"/>
  <c r="M22" i="85"/>
  <c r="M26" i="85"/>
  <c r="K14" i="85"/>
  <c r="K26" i="85"/>
  <c r="K22" i="85"/>
  <c r="I14" i="79"/>
  <c r="I22" i="79"/>
  <c r="I26" i="79"/>
  <c r="J22" i="78"/>
  <c r="J23" i="78" s="1"/>
  <c r="J25" i="78" s="1"/>
  <c r="J27" i="78" s="1"/>
  <c r="K21" i="78" s="1"/>
  <c r="J26" i="78"/>
  <c r="I24" i="77"/>
  <c r="J24" i="77" s="1"/>
  <c r="I23" i="77"/>
  <c r="I25" i="77" s="1"/>
  <c r="I28" i="77" s="1"/>
  <c r="P18" i="75"/>
  <c r="P14" i="75"/>
  <c r="P22" i="75" s="1"/>
  <c r="M23" i="85" l="1"/>
  <c r="M25" i="85" s="1"/>
  <c r="M27" i="85" s="1"/>
  <c r="M24" i="85"/>
  <c r="N24" i="85" s="1"/>
  <c r="K23" i="85"/>
  <c r="K25" i="85" s="1"/>
  <c r="K27" i="85" s="1"/>
  <c r="L21" i="85" s="1"/>
  <c r="K24" i="85"/>
  <c r="I23" i="79"/>
  <c r="I25" i="79" s="1"/>
  <c r="I27" i="79" s="1"/>
  <c r="J21" i="79" s="1"/>
  <c r="I24" i="79"/>
  <c r="K14" i="78"/>
  <c r="K22" i="78"/>
  <c r="K26" i="78"/>
  <c r="P19" i="75"/>
  <c r="P20" i="75" s="1"/>
  <c r="P21" i="75" s="1"/>
  <c r="P13" i="75"/>
  <c r="L22" i="85" l="1"/>
  <c r="L23" i="85" s="1"/>
  <c r="L25" i="85" s="1"/>
  <c r="L27" i="85" s="1"/>
  <c r="L26" i="85"/>
  <c r="J22" i="79"/>
  <c r="J23" i="79" s="1"/>
  <c r="J25" i="79" s="1"/>
  <c r="J27" i="79" s="1"/>
  <c r="J26" i="79"/>
  <c r="K23" i="78"/>
  <c r="K25" i="78" s="1"/>
  <c r="K27" i="78" s="1"/>
  <c r="K24" i="78"/>
  <c r="L24" i="78" s="1"/>
  <c r="M21" i="79" l="1"/>
  <c r="K21" i="79"/>
  <c r="K14" i="79" l="1"/>
  <c r="K22" i="79"/>
  <c r="K26" i="79"/>
  <c r="M22" i="79"/>
  <c r="M14" i="79"/>
  <c r="M26" i="79"/>
  <c r="M24" i="79" l="1"/>
  <c r="N24" i="79" s="1"/>
  <c r="M23" i="79"/>
  <c r="M25" i="79" s="1"/>
  <c r="M27" i="79" s="1"/>
  <c r="K23" i="79"/>
  <c r="K25" i="79" s="1"/>
  <c r="K27" i="79" s="1"/>
  <c r="L21" i="79" s="1"/>
  <c r="K24" i="79"/>
  <c r="L22" i="79" l="1"/>
  <c r="L23" i="79" s="1"/>
  <c r="L25" i="79" s="1"/>
  <c r="L27" i="79" s="1"/>
  <c r="L26" i="79"/>
  <c r="D22" i="34" l="1" a="1"/>
  <c r="D22" i="34" s="1"/>
  <c r="B22" i="34" l="1"/>
  <c r="C22" i="34"/>
  <c r="B11" i="5"/>
  <c r="B11" i="75" l="1"/>
  <c r="M25" i="75" s="1"/>
  <c r="K28" i="75" s="1"/>
  <c r="P38" i="75" s="1"/>
  <c r="B11" i="82"/>
  <c r="M25" i="82" s="1"/>
  <c r="B11" i="6"/>
  <c r="N25" i="75" l="1"/>
  <c r="O25" i="75" s="1"/>
  <c r="Q25" i="75" s="1"/>
  <c r="M39" i="75" s="1"/>
  <c r="Q39" i="75" s="1"/>
  <c r="S39" i="75" s="1"/>
  <c r="K28" i="82"/>
  <c r="P38" i="82" s="1"/>
  <c r="N25" i="82"/>
  <c r="O25" i="82" s="1"/>
  <c r="Q25" i="82" s="1"/>
  <c r="F27" i="75"/>
  <c r="S50" i="75"/>
  <c r="S51" i="75" s="1"/>
  <c r="C15" i="50"/>
  <c r="H15" i="64"/>
  <c r="B15" i="64"/>
  <c r="H12" i="64"/>
  <c r="M38" i="75" l="1"/>
  <c r="Q38" i="75" s="1"/>
  <c r="F28" i="75" s="1"/>
  <c r="M39" i="82"/>
  <c r="Q39" i="82" s="1"/>
  <c r="S39" i="82" s="1"/>
  <c r="M38" i="82"/>
  <c r="Q38" i="82" s="1"/>
  <c r="F28" i="82" s="1"/>
  <c r="F27" i="82"/>
  <c r="S50" i="82"/>
  <c r="S51" i="82" s="1"/>
  <c r="S59" i="75"/>
  <c r="S58" i="75"/>
  <c r="E12" i="54"/>
  <c r="F18" i="75" l="1"/>
  <c r="S38" i="75"/>
  <c r="P28" i="75" s="1"/>
  <c r="F19" i="75"/>
  <c r="I19" i="75" s="1"/>
  <c r="F19" i="82"/>
  <c r="I19" i="82" s="1"/>
  <c r="F18" i="82"/>
  <c r="S38" i="82"/>
  <c r="P28" i="82" s="1"/>
  <c r="S58" i="82"/>
  <c r="S59" i="82"/>
  <c r="R61" i="75"/>
  <c r="S63" i="75"/>
  <c r="S69" i="75"/>
  <c r="C53" i="75"/>
  <c r="F52" i="75" s="1"/>
  <c r="M41" i="6"/>
  <c r="I18" i="75" l="1"/>
  <c r="G20" i="75"/>
  <c r="I20" i="75" s="1"/>
  <c r="I18" i="82"/>
  <c r="G20" i="82"/>
  <c r="I20" i="82" s="1"/>
  <c r="S63" i="82"/>
  <c r="R61" i="82"/>
  <c r="S69" i="82"/>
  <c r="C53" i="82"/>
  <c r="F52" i="82" s="1"/>
  <c r="K6" i="2"/>
  <c r="C38" i="2"/>
  <c r="I25" i="75" l="1"/>
  <c r="F34" i="5" s="1"/>
  <c r="I25" i="82"/>
  <c r="F35" i="5" s="1"/>
  <c r="B221" i="60"/>
  <c r="C221" i="60" s="1"/>
  <c r="D221" i="60" s="1"/>
  <c r="E221" i="60" s="1"/>
  <c r="F221" i="60" s="1"/>
  <c r="G221" i="60" s="1"/>
  <c r="H221" i="60" s="1"/>
  <c r="I221" i="60" s="1"/>
  <c r="J221" i="60" s="1"/>
  <c r="K221" i="60" s="1"/>
  <c r="B224" i="60"/>
  <c r="B226" i="60"/>
  <c r="B225" i="60"/>
  <c r="I225" i="60"/>
  <c r="T224" i="60"/>
  <c r="T226" i="60"/>
  <c r="M226" i="60"/>
  <c r="I224" i="60"/>
  <c r="T225" i="60"/>
  <c r="F56" i="2" l="1"/>
  <c r="F55" i="2"/>
  <c r="F54" i="2"/>
  <c r="F53" i="2"/>
  <c r="F226" i="60"/>
  <c r="M225" i="60"/>
  <c r="D224" i="60"/>
  <c r="H226" i="60"/>
  <c r="D225" i="60"/>
  <c r="M7" i="2"/>
  <c r="D226" i="60"/>
  <c r="E224" i="60"/>
  <c r="G224" i="60"/>
  <c r="G225" i="60"/>
  <c r="E226" i="60"/>
  <c r="F224" i="60"/>
  <c r="E225" i="60"/>
  <c r="I226" i="60"/>
  <c r="G226" i="60"/>
  <c r="C226" i="60"/>
  <c r="F225" i="60"/>
  <c r="J226" i="60"/>
  <c r="M224" i="60"/>
  <c r="H224" i="60"/>
  <c r="H225" i="60"/>
  <c r="K7" i="2"/>
  <c r="O7" i="2"/>
  <c r="K2" i="6" l="1"/>
  <c r="K1" i="6"/>
  <c r="I22" i="6" s="1"/>
  <c r="K3" i="6"/>
  <c r="K4" i="6"/>
  <c r="B11" i="1"/>
  <c r="F10" i="56" l="1"/>
  <c r="F9" i="56"/>
  <c r="E26" i="56"/>
  <c r="E23" i="56"/>
  <c r="E22" i="56"/>
  <c r="B26" i="56"/>
  <c r="B23" i="56"/>
  <c r="B22" i="56"/>
  <c r="EL37" i="73"/>
  <c r="EA37" i="73"/>
  <c r="DP37" i="73"/>
  <c r="DE37" i="73"/>
  <c r="CT34" i="73"/>
  <c r="BX34" i="73"/>
  <c r="BM34" i="73"/>
  <c r="BB34" i="73"/>
  <c r="DZ32" i="73"/>
  <c r="DX32" i="73"/>
  <c r="DY32" i="73" s="1"/>
  <c r="AQ32" i="73"/>
  <c r="AF32" i="73"/>
  <c r="U32" i="73"/>
  <c r="J32" i="73"/>
  <c r="DZ31" i="73"/>
  <c r="DX31" i="73"/>
  <c r="DY31" i="73" s="1"/>
  <c r="DO31" i="73"/>
  <c r="DM31" i="73"/>
  <c r="DN31" i="73" s="1"/>
  <c r="EK30" i="73"/>
  <c r="EI30" i="73"/>
  <c r="EJ30" i="73" s="1"/>
  <c r="DZ30" i="73"/>
  <c r="DX30" i="73"/>
  <c r="DY30" i="73" s="1"/>
  <c r="DO30" i="73"/>
  <c r="DM30" i="73"/>
  <c r="DN30" i="73" s="1"/>
  <c r="DD30" i="73"/>
  <c r="DB30" i="73"/>
  <c r="DC30" i="73" s="1"/>
  <c r="EK29" i="73"/>
  <c r="EI29" i="73"/>
  <c r="EJ29" i="73" s="1"/>
  <c r="DZ29" i="73"/>
  <c r="DX29" i="73"/>
  <c r="DY29" i="73" s="1"/>
  <c r="DO29" i="73"/>
  <c r="DM29" i="73"/>
  <c r="DN29" i="73" s="1"/>
  <c r="DD29" i="73"/>
  <c r="DB29" i="73"/>
  <c r="DC29" i="73" s="1"/>
  <c r="DO28" i="73"/>
  <c r="DM28" i="73"/>
  <c r="DN28" i="73" s="1"/>
  <c r="DD28" i="73"/>
  <c r="DB28" i="73"/>
  <c r="DC28" i="73" s="1"/>
  <c r="CS28" i="73"/>
  <c r="CQ28" i="73"/>
  <c r="CR28" i="73" s="1"/>
  <c r="BW28" i="73"/>
  <c r="BU28" i="73"/>
  <c r="BV28" i="73" s="1"/>
  <c r="BL28" i="73"/>
  <c r="BJ28" i="73"/>
  <c r="BK28" i="73" s="1"/>
  <c r="BA28" i="73"/>
  <c r="AY28" i="73"/>
  <c r="AZ28" i="73" s="1"/>
  <c r="EI27" i="73"/>
  <c r="EJ27" i="73" s="1"/>
  <c r="DX27" i="73"/>
  <c r="DY27" i="73" s="1"/>
  <c r="DD27" i="73"/>
  <c r="DB27" i="73"/>
  <c r="DC27" i="73" s="1"/>
  <c r="CS27" i="73"/>
  <c r="CQ27" i="73"/>
  <c r="CR27" i="73" s="1"/>
  <c r="BW27" i="73"/>
  <c r="BU27" i="73"/>
  <c r="BV27" i="73" s="1"/>
  <c r="BL27" i="73"/>
  <c r="BJ27" i="73"/>
  <c r="BK27" i="73" s="1"/>
  <c r="BA27" i="73"/>
  <c r="AY27" i="73"/>
  <c r="AZ27" i="73" s="1"/>
  <c r="AP27" i="73"/>
  <c r="AN27" i="73"/>
  <c r="AO27" i="73" s="1"/>
  <c r="AE27" i="73"/>
  <c r="AC27" i="73"/>
  <c r="AD27" i="73" s="1"/>
  <c r="EI26" i="73"/>
  <c r="EJ26" i="73" s="1"/>
  <c r="DX26" i="73"/>
  <c r="DY26" i="73" s="1"/>
  <c r="DM26" i="73"/>
  <c r="DN26" i="73" s="1"/>
  <c r="AP26" i="73"/>
  <c r="AN26" i="73"/>
  <c r="AO26" i="73" s="1"/>
  <c r="AE26" i="73"/>
  <c r="AC26" i="73"/>
  <c r="AD26" i="73" s="1"/>
  <c r="EI25" i="73"/>
  <c r="EJ25" i="73" s="1"/>
  <c r="DX25" i="73"/>
  <c r="DY25" i="73" s="1"/>
  <c r="DM25" i="73"/>
  <c r="DN25" i="73" s="1"/>
  <c r="DB25" i="73"/>
  <c r="DC25" i="73" s="1"/>
  <c r="CQ25" i="73"/>
  <c r="CR25" i="73" s="1"/>
  <c r="CF25" i="73"/>
  <c r="CG25" i="73" s="1"/>
  <c r="BW25" i="73"/>
  <c r="BU25" i="73"/>
  <c r="BV25" i="73" s="1"/>
  <c r="BL25" i="73"/>
  <c r="BJ25" i="73"/>
  <c r="BK25" i="73" s="1"/>
  <c r="BA25" i="73"/>
  <c r="AY25" i="73"/>
  <c r="AZ25" i="73" s="1"/>
  <c r="AP25" i="73"/>
  <c r="AN25" i="73"/>
  <c r="AO25" i="73" s="1"/>
  <c r="AE25" i="73"/>
  <c r="AC25" i="73"/>
  <c r="AD25" i="73" s="1"/>
  <c r="EI24" i="73"/>
  <c r="EJ24" i="73" s="1"/>
  <c r="DX24" i="73"/>
  <c r="DY24" i="73" s="1"/>
  <c r="DM24" i="73"/>
  <c r="DN24" i="73" s="1"/>
  <c r="DB24" i="73"/>
  <c r="DC24" i="73" s="1"/>
  <c r="CQ24" i="73"/>
  <c r="CR24" i="73" s="1"/>
  <c r="CF24" i="73"/>
  <c r="CG24" i="73" s="1"/>
  <c r="BW24" i="73"/>
  <c r="BU24" i="73"/>
  <c r="BV24" i="73" s="1"/>
  <c r="BL24" i="73"/>
  <c r="BJ24" i="73"/>
  <c r="BK24" i="73" s="1"/>
  <c r="BA24" i="73"/>
  <c r="AY24" i="73"/>
  <c r="AZ24" i="73" s="1"/>
  <c r="AP24" i="73"/>
  <c r="AN24" i="73"/>
  <c r="AO24" i="73" s="1"/>
  <c r="AE24" i="73"/>
  <c r="AC24" i="73"/>
  <c r="AD24" i="73" s="1"/>
  <c r="DM23" i="73"/>
  <c r="DN23" i="73" s="1"/>
  <c r="DB23" i="73"/>
  <c r="DC23" i="73" s="1"/>
  <c r="T23" i="73"/>
  <c r="R23" i="73"/>
  <c r="S23" i="73" s="1"/>
  <c r="I23" i="73"/>
  <c r="G23" i="73"/>
  <c r="H23" i="73" s="1"/>
  <c r="EI22" i="73"/>
  <c r="EJ22" i="73" s="1"/>
  <c r="DX22" i="73"/>
  <c r="DY22" i="73" s="1"/>
  <c r="DB22" i="73"/>
  <c r="DC22" i="73" s="1"/>
  <c r="CQ22" i="73"/>
  <c r="CR22" i="73" s="1"/>
  <c r="CF22" i="73"/>
  <c r="CG22" i="73" s="1"/>
  <c r="BU22" i="73"/>
  <c r="BV22" i="73" s="1"/>
  <c r="BJ22" i="73"/>
  <c r="BK22" i="73" s="1"/>
  <c r="AY22" i="73"/>
  <c r="AZ22" i="73" s="1"/>
  <c r="AN22" i="73"/>
  <c r="AO22" i="73" s="1"/>
  <c r="AC22" i="73"/>
  <c r="AD22" i="73" s="1"/>
  <c r="T22" i="73"/>
  <c r="R22" i="73"/>
  <c r="S22" i="73" s="1"/>
  <c r="I22" i="73"/>
  <c r="G22" i="73"/>
  <c r="H22" i="73" s="1"/>
  <c r="EI21" i="73"/>
  <c r="EJ21" i="73" s="1"/>
  <c r="DX21" i="73"/>
  <c r="DY21" i="73" s="1"/>
  <c r="DM21" i="73"/>
  <c r="DN21" i="73" s="1"/>
  <c r="CQ21" i="73"/>
  <c r="CR21" i="73" s="1"/>
  <c r="CF21" i="73"/>
  <c r="CG21" i="73" s="1"/>
  <c r="BU21" i="73"/>
  <c r="BV21" i="73" s="1"/>
  <c r="BJ21" i="73"/>
  <c r="BK21" i="73" s="1"/>
  <c r="AY21" i="73"/>
  <c r="AZ21" i="73" s="1"/>
  <c r="AN21" i="73"/>
  <c r="AO21" i="73" s="1"/>
  <c r="AC21" i="73"/>
  <c r="AD21" i="73" s="1"/>
  <c r="DM20" i="73"/>
  <c r="DN20" i="73" s="1"/>
  <c r="DB20" i="73"/>
  <c r="DC20" i="73" s="1"/>
  <c r="R20" i="73"/>
  <c r="S20" i="73" s="1"/>
  <c r="G20" i="73"/>
  <c r="H20" i="73" s="1"/>
  <c r="EI19" i="73"/>
  <c r="EJ19" i="73" s="1"/>
  <c r="DX19" i="73"/>
  <c r="DY19" i="73" s="1"/>
  <c r="DB19" i="73"/>
  <c r="DC19" i="73" s="1"/>
  <c r="CQ19" i="73"/>
  <c r="CR19" i="73" s="1"/>
  <c r="CF19" i="73"/>
  <c r="CG19" i="73" s="1"/>
  <c r="BU19" i="73"/>
  <c r="BV19" i="73" s="1"/>
  <c r="BJ19" i="73"/>
  <c r="BK19" i="73" s="1"/>
  <c r="AY19" i="73"/>
  <c r="AZ19" i="73" s="1"/>
  <c r="AN19" i="73"/>
  <c r="AO19" i="73" s="1"/>
  <c r="AC19" i="73"/>
  <c r="AD19" i="73" s="1"/>
  <c r="R19" i="73"/>
  <c r="S19" i="73" s="1"/>
  <c r="G19" i="73"/>
  <c r="H19" i="73" s="1"/>
  <c r="EI18" i="73"/>
  <c r="EJ18" i="73" s="1"/>
  <c r="DX18" i="73"/>
  <c r="DY18" i="73" s="1"/>
  <c r="DM18" i="73"/>
  <c r="DN18" i="73" s="1"/>
  <c r="CQ18" i="73"/>
  <c r="CR18" i="73" s="1"/>
  <c r="CF18" i="73"/>
  <c r="CG18" i="73" s="1"/>
  <c r="BU18" i="73"/>
  <c r="BV18" i="73" s="1"/>
  <c r="BJ18" i="73"/>
  <c r="BK18" i="73" s="1"/>
  <c r="AY18" i="73"/>
  <c r="AZ18" i="73" s="1"/>
  <c r="AN18" i="73"/>
  <c r="AO18" i="73" s="1"/>
  <c r="AC18" i="73"/>
  <c r="AD18" i="73" s="1"/>
  <c r="DM17" i="73"/>
  <c r="DN17" i="73" s="1"/>
  <c r="DB17" i="73"/>
  <c r="DC17" i="73" s="1"/>
  <c r="R17" i="73"/>
  <c r="S17" i="73" s="1"/>
  <c r="G17" i="73"/>
  <c r="H17" i="73" s="1"/>
  <c r="EI16" i="73"/>
  <c r="EJ16" i="73" s="1"/>
  <c r="DB16" i="73"/>
  <c r="DC16" i="73" s="1"/>
  <c r="CQ16" i="73"/>
  <c r="CR16" i="73" s="1"/>
  <c r="CF16" i="73"/>
  <c r="CG16" i="73" s="1"/>
  <c r="BU16" i="73"/>
  <c r="BV16" i="73" s="1"/>
  <c r="BJ16" i="73"/>
  <c r="BK16" i="73" s="1"/>
  <c r="AY16" i="73"/>
  <c r="AZ16" i="73" s="1"/>
  <c r="AN16" i="73"/>
  <c r="AO16" i="73" s="1"/>
  <c r="AC16" i="73"/>
  <c r="AD16" i="73" s="1"/>
  <c r="R16" i="73"/>
  <c r="S16" i="73" s="1"/>
  <c r="G16" i="73"/>
  <c r="H16" i="73" s="1"/>
  <c r="EI15" i="73"/>
  <c r="EJ15" i="73" s="1"/>
  <c r="DX15" i="73"/>
  <c r="DY15" i="73" s="1"/>
  <c r="DM15" i="73"/>
  <c r="DN15" i="73" s="1"/>
  <c r="CQ15" i="73"/>
  <c r="CR15" i="73" s="1"/>
  <c r="CF15" i="73"/>
  <c r="CG15" i="73" s="1"/>
  <c r="BU15" i="73"/>
  <c r="BV15" i="73" s="1"/>
  <c r="BJ15" i="73"/>
  <c r="BK15" i="73" s="1"/>
  <c r="AY15" i="73"/>
  <c r="AZ15" i="73" s="1"/>
  <c r="AN15" i="73"/>
  <c r="AO15" i="73" s="1"/>
  <c r="AC15" i="73"/>
  <c r="AD15" i="73" s="1"/>
  <c r="EI14" i="73"/>
  <c r="EJ14" i="73" s="1"/>
  <c r="DX14" i="73"/>
  <c r="DY14" i="73" s="1"/>
  <c r="DB14" i="73"/>
  <c r="DC14" i="73" s="1"/>
  <c r="R14" i="73"/>
  <c r="S14" i="73" s="1"/>
  <c r="G14" i="73"/>
  <c r="H14" i="73" s="1"/>
  <c r="EI13" i="73"/>
  <c r="EJ13" i="73" s="1"/>
  <c r="DX13" i="73"/>
  <c r="DY13" i="73" s="1"/>
  <c r="DM13" i="73"/>
  <c r="DN13" i="73" s="1"/>
  <c r="DB13" i="73"/>
  <c r="DC13" i="73" s="1"/>
  <c r="CF13" i="73"/>
  <c r="CG13" i="73" s="1"/>
  <c r="BU13" i="73"/>
  <c r="BV13" i="73" s="1"/>
  <c r="BJ13" i="73"/>
  <c r="BK13" i="73" s="1"/>
  <c r="AY13" i="73"/>
  <c r="AZ13" i="73" s="1"/>
  <c r="AN13" i="73"/>
  <c r="AO13" i="73" s="1"/>
  <c r="AC13" i="73"/>
  <c r="AD13" i="73" s="1"/>
  <c r="R13" i="73"/>
  <c r="S13" i="73" s="1"/>
  <c r="G13" i="73"/>
  <c r="H13" i="73" s="1"/>
  <c r="BJ12" i="73"/>
  <c r="BK12" i="73" s="1"/>
  <c r="R11" i="73"/>
  <c r="S11" i="73" s="1"/>
  <c r="G11" i="73"/>
  <c r="H11" i="73" s="1"/>
  <c r="EI9" i="73"/>
  <c r="EJ9" i="73" s="1"/>
  <c r="DX9" i="73"/>
  <c r="DY9" i="73" s="1"/>
  <c r="DM9" i="73"/>
  <c r="DN9" i="73" s="1"/>
  <c r="DB9" i="73"/>
  <c r="DC9" i="73" s="1"/>
  <c r="CQ9" i="73"/>
  <c r="CR9" i="73" s="1"/>
  <c r="CF9" i="73"/>
  <c r="CG9" i="73" s="1"/>
  <c r="BU9" i="73"/>
  <c r="BV9" i="73" s="1"/>
  <c r="BJ9" i="73"/>
  <c r="BK9" i="73" s="1"/>
  <c r="AY9" i="73"/>
  <c r="AZ9" i="73" s="1"/>
  <c r="AN9" i="73"/>
  <c r="AO9" i="73" s="1"/>
  <c r="AC9" i="73"/>
  <c r="AD9" i="73" s="1"/>
  <c r="EI8" i="73"/>
  <c r="EJ8" i="73" s="1"/>
  <c r="DX8" i="73"/>
  <c r="DY8" i="73" s="1"/>
  <c r="DM8" i="73"/>
  <c r="DN8" i="73" s="1"/>
  <c r="DB8" i="73"/>
  <c r="DC8" i="73" s="1"/>
  <c r="R8" i="73"/>
  <c r="S8" i="73" s="1"/>
  <c r="G8" i="73"/>
  <c r="H8" i="73" s="1"/>
  <c r="EL37" i="68"/>
  <c r="EA37" i="68"/>
  <c r="DP37" i="68"/>
  <c r="DE37" i="68"/>
  <c r="CT34" i="68"/>
  <c r="BX34" i="68"/>
  <c r="BM34" i="68"/>
  <c r="BB34" i="68"/>
  <c r="AQ32" i="68"/>
  <c r="AF32" i="68"/>
  <c r="U32" i="68"/>
  <c r="J32" i="68"/>
  <c r="EK30" i="68"/>
  <c r="EI30" i="68"/>
  <c r="EJ30" i="68" s="1"/>
  <c r="EK29" i="68"/>
  <c r="EI29" i="68"/>
  <c r="EJ29" i="68" s="1"/>
  <c r="DZ32" i="68"/>
  <c r="DX32" i="68"/>
  <c r="DY32" i="68" s="1"/>
  <c r="DZ31" i="68"/>
  <c r="DX31" i="68"/>
  <c r="DY31" i="68" s="1"/>
  <c r="DZ30" i="68"/>
  <c r="DX30" i="68"/>
  <c r="DY30" i="68" s="1"/>
  <c r="DZ29" i="68"/>
  <c r="DX29" i="68"/>
  <c r="DY29" i="68" s="1"/>
  <c r="DO31" i="68"/>
  <c r="DM31" i="68"/>
  <c r="DN31" i="68" s="1"/>
  <c r="DO30" i="68"/>
  <c r="DM30" i="68"/>
  <c r="DN30" i="68" s="1"/>
  <c r="DO29" i="68"/>
  <c r="DM29" i="68"/>
  <c r="DN29" i="68" s="1"/>
  <c r="DO28" i="68"/>
  <c r="DM28" i="68"/>
  <c r="DN28" i="68" s="1"/>
  <c r="DD30" i="68"/>
  <c r="DB30" i="68"/>
  <c r="DC30" i="68" s="1"/>
  <c r="DD29" i="68"/>
  <c r="DB29" i="68"/>
  <c r="DC29" i="68" s="1"/>
  <c r="DD28" i="68"/>
  <c r="DB28" i="68"/>
  <c r="DC28" i="68" s="1"/>
  <c r="DD27" i="68"/>
  <c r="DB27" i="68"/>
  <c r="DC27" i="68" s="1"/>
  <c r="CS28" i="68"/>
  <c r="CQ28" i="68"/>
  <c r="CR28" i="68" s="1"/>
  <c r="CS27" i="68"/>
  <c r="CQ27" i="68"/>
  <c r="CR27" i="68" s="1"/>
  <c r="BW28" i="68"/>
  <c r="BU28" i="68"/>
  <c r="BV28" i="68" s="1"/>
  <c r="BW27" i="68"/>
  <c r="BU27" i="68"/>
  <c r="BV27" i="68" s="1"/>
  <c r="BL28" i="68"/>
  <c r="BJ28" i="68"/>
  <c r="BK28" i="68" s="1"/>
  <c r="BL27" i="68"/>
  <c r="BJ27" i="68"/>
  <c r="BK27" i="68" s="1"/>
  <c r="BA28" i="68"/>
  <c r="AY28" i="68"/>
  <c r="AZ28" i="68" s="1"/>
  <c r="BA27" i="68"/>
  <c r="AY27" i="68"/>
  <c r="AZ27" i="68" s="1"/>
  <c r="EI27" i="68"/>
  <c r="EJ27" i="68" s="1"/>
  <c r="EI26" i="68"/>
  <c r="EJ26" i="68" s="1"/>
  <c r="EI25" i="68"/>
  <c r="EJ25" i="68" s="1"/>
  <c r="EI24" i="68"/>
  <c r="EJ24" i="68" s="1"/>
  <c r="DX27" i="68"/>
  <c r="DY27" i="68" s="1"/>
  <c r="DX26" i="68"/>
  <c r="DY26" i="68" s="1"/>
  <c r="DX25" i="68"/>
  <c r="DY25" i="68" s="1"/>
  <c r="DX24" i="68"/>
  <c r="DY24" i="68" s="1"/>
  <c r="CQ25" i="68"/>
  <c r="CR25" i="68" s="1"/>
  <c r="CQ24" i="68"/>
  <c r="CR24" i="68" s="1"/>
  <c r="CF25" i="68"/>
  <c r="CG25" i="68" s="1"/>
  <c r="CF24" i="68"/>
  <c r="CG24" i="68" s="1"/>
  <c r="BW25" i="68"/>
  <c r="BU25" i="68"/>
  <c r="BV25" i="68" s="1"/>
  <c r="BW24" i="68"/>
  <c r="BU24" i="68"/>
  <c r="BV24" i="68" s="1"/>
  <c r="BL25" i="68"/>
  <c r="BJ25" i="68"/>
  <c r="BK25" i="68" s="1"/>
  <c r="BL24" i="68"/>
  <c r="BJ24" i="68"/>
  <c r="BK24" i="68" s="1"/>
  <c r="BA25" i="68"/>
  <c r="AY25" i="68"/>
  <c r="AZ25" i="68" s="1"/>
  <c r="BA24" i="68"/>
  <c r="AY24" i="68"/>
  <c r="AZ24" i="68" s="1"/>
  <c r="AP27" i="68"/>
  <c r="AN27" i="68"/>
  <c r="AO27" i="68" s="1"/>
  <c r="AP26" i="68"/>
  <c r="AN26" i="68"/>
  <c r="AO26" i="68" s="1"/>
  <c r="AP25" i="68"/>
  <c r="AN25" i="68"/>
  <c r="AO25" i="68" s="1"/>
  <c r="AP24" i="68"/>
  <c r="AN24" i="68"/>
  <c r="AO24" i="68" s="1"/>
  <c r="AE27" i="68"/>
  <c r="AC27" i="68"/>
  <c r="AD27" i="68" s="1"/>
  <c r="AE26" i="68"/>
  <c r="AC26" i="68"/>
  <c r="AD26" i="68" s="1"/>
  <c r="AE25" i="68"/>
  <c r="AC25" i="68"/>
  <c r="AD25" i="68" s="1"/>
  <c r="AE24" i="68"/>
  <c r="AC24" i="68"/>
  <c r="AD24" i="68" s="1"/>
  <c r="DM26" i="68"/>
  <c r="DN26" i="68" s="1"/>
  <c r="DM25" i="68"/>
  <c r="DN25" i="68" s="1"/>
  <c r="DM24" i="68"/>
  <c r="DN24" i="68" s="1"/>
  <c r="DM23" i="68"/>
  <c r="DN23" i="68" s="1"/>
  <c r="DB25" i="68"/>
  <c r="DC25" i="68" s="1"/>
  <c r="DB24" i="68"/>
  <c r="DC24" i="68" s="1"/>
  <c r="DB23" i="68"/>
  <c r="DC23" i="68" s="1"/>
  <c r="DB22" i="68"/>
  <c r="DC22" i="68" s="1"/>
  <c r="T23" i="68"/>
  <c r="R23" i="68"/>
  <c r="S23" i="68" s="1"/>
  <c r="T22" i="68"/>
  <c r="R22" i="68"/>
  <c r="S22" i="68" s="1"/>
  <c r="I23" i="68"/>
  <c r="G23" i="68"/>
  <c r="H23" i="68" s="1"/>
  <c r="I22" i="68"/>
  <c r="G22" i="68"/>
  <c r="H22" i="68" s="1"/>
  <c r="EI22" i="68"/>
  <c r="EJ22" i="68" s="1"/>
  <c r="EI21" i="68"/>
  <c r="EJ21" i="68" s="1"/>
  <c r="DX22" i="68"/>
  <c r="DY22" i="68" s="1"/>
  <c r="DX21" i="68"/>
  <c r="DY21" i="68" s="1"/>
  <c r="CQ22" i="68"/>
  <c r="CR22" i="68" s="1"/>
  <c r="CQ21" i="68"/>
  <c r="CR21" i="68" s="1"/>
  <c r="CF22" i="68"/>
  <c r="CG22" i="68" s="1"/>
  <c r="CF21" i="68"/>
  <c r="CG21" i="68" s="1"/>
  <c r="BU22" i="68"/>
  <c r="BV22" i="68" s="1"/>
  <c r="BU21" i="68"/>
  <c r="BV21" i="68" s="1"/>
  <c r="BJ22" i="68"/>
  <c r="BK22" i="68" s="1"/>
  <c r="BJ21" i="68"/>
  <c r="BK21" i="68" s="1"/>
  <c r="AY22" i="68"/>
  <c r="AZ22" i="68" s="1"/>
  <c r="AY21" i="68"/>
  <c r="AZ21" i="68" s="1"/>
  <c r="AN22" i="68"/>
  <c r="AO22" i="68" s="1"/>
  <c r="AN21" i="68"/>
  <c r="AO21" i="68" s="1"/>
  <c r="AC22" i="68"/>
  <c r="AD22" i="68" s="1"/>
  <c r="AC21" i="68"/>
  <c r="AD21" i="68" s="1"/>
  <c r="DM21" i="68"/>
  <c r="DN21" i="68" s="1"/>
  <c r="DM20" i="68"/>
  <c r="DN20" i="68" s="1"/>
  <c r="DB20" i="68"/>
  <c r="DC20" i="68" s="1"/>
  <c r="DB19" i="68"/>
  <c r="DC19" i="68" s="1"/>
  <c r="R20" i="68"/>
  <c r="S20" i="68" s="1"/>
  <c r="R19" i="68"/>
  <c r="S19" i="68" s="1"/>
  <c r="G20" i="68"/>
  <c r="H20" i="68" s="1"/>
  <c r="G19" i="68"/>
  <c r="H19" i="68" s="1"/>
  <c r="EI19" i="68"/>
  <c r="EJ19" i="68" s="1"/>
  <c r="EI18" i="68"/>
  <c r="EJ18" i="68" s="1"/>
  <c r="DX19" i="68"/>
  <c r="DY19" i="68" s="1"/>
  <c r="DX18" i="68"/>
  <c r="DY18" i="68" s="1"/>
  <c r="CQ19" i="68"/>
  <c r="CR19" i="68" s="1"/>
  <c r="CQ18" i="68"/>
  <c r="CR18" i="68" s="1"/>
  <c r="CF19" i="68"/>
  <c r="CG19" i="68" s="1"/>
  <c r="CF18" i="68"/>
  <c r="CG18" i="68" s="1"/>
  <c r="BU19" i="68"/>
  <c r="BV19" i="68" s="1"/>
  <c r="BU18" i="68"/>
  <c r="BV18" i="68" s="1"/>
  <c r="BJ19" i="68"/>
  <c r="BK19" i="68" s="1"/>
  <c r="BJ18" i="68"/>
  <c r="BK18" i="68" s="1"/>
  <c r="AY19" i="68"/>
  <c r="AZ19" i="68" s="1"/>
  <c r="AY18" i="68"/>
  <c r="AZ18" i="68" s="1"/>
  <c r="AN19" i="68"/>
  <c r="AO19" i="68" s="1"/>
  <c r="AN18" i="68"/>
  <c r="AO18" i="68" s="1"/>
  <c r="AC19" i="68"/>
  <c r="AD19" i="68" s="1"/>
  <c r="AC18" i="68"/>
  <c r="AD18" i="68" s="1"/>
  <c r="DM18" i="68"/>
  <c r="DN18" i="68" s="1"/>
  <c r="DM17" i="68"/>
  <c r="DN17" i="68" s="1"/>
  <c r="DB17" i="68"/>
  <c r="DC17" i="68" s="1"/>
  <c r="DB16" i="68"/>
  <c r="DC16" i="68" s="1"/>
  <c r="R17" i="68"/>
  <c r="S17" i="68" s="1"/>
  <c r="R16" i="68"/>
  <c r="S16" i="68" s="1"/>
  <c r="G17" i="68"/>
  <c r="H17" i="68" s="1"/>
  <c r="G16" i="68"/>
  <c r="H16" i="68" s="1"/>
  <c r="DM15" i="68"/>
  <c r="DN15" i="68" s="1"/>
  <c r="CQ16" i="68"/>
  <c r="CR16" i="68" s="1"/>
  <c r="CQ15" i="68"/>
  <c r="CR15" i="68" s="1"/>
  <c r="CF16" i="68"/>
  <c r="CG16" i="68" s="1"/>
  <c r="CF15" i="68"/>
  <c r="CG15" i="68" s="1"/>
  <c r="BU16" i="68"/>
  <c r="BV16" i="68" s="1"/>
  <c r="BU15" i="68"/>
  <c r="BV15" i="68" s="1"/>
  <c r="BJ16" i="68"/>
  <c r="BK16" i="68" s="1"/>
  <c r="BJ15" i="68"/>
  <c r="BK15" i="68" s="1"/>
  <c r="AY16" i="68"/>
  <c r="AZ16" i="68" s="1"/>
  <c r="AY15" i="68"/>
  <c r="AZ15" i="68" s="1"/>
  <c r="AN16" i="68"/>
  <c r="AO16" i="68" s="1"/>
  <c r="AN15" i="68"/>
  <c r="AO15" i="68" s="1"/>
  <c r="AC16" i="68"/>
  <c r="AD16" i="68" s="1"/>
  <c r="AC15" i="68"/>
  <c r="AD15" i="68" s="1"/>
  <c r="R14" i="68"/>
  <c r="S14" i="68" s="1"/>
  <c r="R13" i="68"/>
  <c r="S13" i="68" s="1"/>
  <c r="G14" i="68"/>
  <c r="H14" i="68" s="1"/>
  <c r="G13" i="68"/>
  <c r="H13" i="68" s="1"/>
  <c r="EI16" i="68"/>
  <c r="EJ16" i="68" s="1"/>
  <c r="EI15" i="68"/>
  <c r="EJ15" i="68" s="1"/>
  <c r="EI14" i="68"/>
  <c r="EJ14" i="68" s="1"/>
  <c r="EI13" i="68"/>
  <c r="EJ13" i="68" s="1"/>
  <c r="DX15" i="68"/>
  <c r="DY15" i="68" s="1"/>
  <c r="DX14" i="68"/>
  <c r="DY14" i="68" s="1"/>
  <c r="DX13" i="68"/>
  <c r="DY13" i="68" s="1"/>
  <c r="DM13" i="68"/>
  <c r="DN13" i="68" s="1"/>
  <c r="DB14" i="68"/>
  <c r="DC14" i="68" s="1"/>
  <c r="DB13" i="68"/>
  <c r="DC13" i="68" s="1"/>
  <c r="CF13" i="68"/>
  <c r="CG13" i="68" s="1"/>
  <c r="BU13" i="68"/>
  <c r="BV13" i="68" s="1"/>
  <c r="BJ13" i="68"/>
  <c r="BK13" i="68" s="1"/>
  <c r="BJ12" i="68"/>
  <c r="BK12" i="68" s="1"/>
  <c r="AY13" i="68"/>
  <c r="AZ13" i="68" s="1"/>
  <c r="AN13" i="68"/>
  <c r="AO13" i="68" s="1"/>
  <c r="AC13" i="68"/>
  <c r="AD13" i="68" s="1"/>
  <c r="R11" i="68"/>
  <c r="S11" i="68" s="1"/>
  <c r="G11" i="68"/>
  <c r="H11" i="68" s="1"/>
  <c r="CQ9" i="68"/>
  <c r="CR9" i="68" s="1"/>
  <c r="CF9" i="68"/>
  <c r="CG9" i="68" s="1"/>
  <c r="BU9" i="68"/>
  <c r="BV9" i="68" s="1"/>
  <c r="BJ9" i="68"/>
  <c r="BK9" i="68" s="1"/>
  <c r="AY9" i="68"/>
  <c r="AZ9" i="68" s="1"/>
  <c r="AN9" i="68"/>
  <c r="AO9" i="68" s="1"/>
  <c r="AC9" i="68"/>
  <c r="AD9" i="68" s="1"/>
  <c r="R8" i="68"/>
  <c r="S8" i="68" s="1"/>
  <c r="G8" i="68"/>
  <c r="H8" i="68" s="1"/>
  <c r="EI9" i="68"/>
  <c r="EJ9" i="68" s="1"/>
  <c r="EI8" i="68"/>
  <c r="EJ8" i="68" s="1"/>
  <c r="DX9" i="68"/>
  <c r="DY9" i="68" s="1"/>
  <c r="DX8" i="68"/>
  <c r="DY8" i="68" s="1"/>
  <c r="DM9" i="68"/>
  <c r="DN9" i="68" s="1"/>
  <c r="DM8" i="68"/>
  <c r="DN8" i="68" s="1"/>
  <c r="DB9" i="68"/>
  <c r="DC9" i="68" s="1"/>
  <c r="DB8" i="68"/>
  <c r="DC8" i="68" s="1"/>
  <c r="E22" i="51"/>
  <c r="E23" i="51"/>
  <c r="E26" i="51"/>
  <c r="B26" i="51"/>
  <c r="B23" i="51"/>
  <c r="B22" i="51"/>
  <c r="E35" i="74"/>
  <c r="B51" i="73"/>
  <c r="E54" i="74"/>
  <c r="B47" i="73"/>
  <c r="E37" i="71"/>
  <c r="E64" i="74"/>
  <c r="E64" i="71"/>
  <c r="B47" i="68"/>
  <c r="B54" i="73"/>
  <c r="B48" i="68"/>
  <c r="E37" i="74"/>
  <c r="E43" i="74"/>
  <c r="E44" i="69"/>
  <c r="E32" i="71"/>
  <c r="E61" i="74"/>
  <c r="C224" i="60"/>
  <c r="E45" i="71"/>
  <c r="B51" i="68"/>
  <c r="E45" i="74"/>
  <c r="E44" i="72"/>
  <c r="E54" i="71"/>
  <c r="E36" i="71"/>
  <c r="E36" i="74"/>
  <c r="E32" i="74"/>
  <c r="E61" i="71"/>
  <c r="E39" i="74"/>
  <c r="E39" i="71"/>
  <c r="B54" i="68"/>
  <c r="E43" i="71"/>
  <c r="O224" i="60"/>
  <c r="DE27" i="73" l="1"/>
  <c r="BX28" i="73"/>
  <c r="DE29" i="73"/>
  <c r="DE30" i="73"/>
  <c r="DP31" i="73"/>
  <c r="EA32" i="73"/>
  <c r="BM27" i="73"/>
  <c r="DP30" i="73"/>
  <c r="AQ27" i="73"/>
  <c r="EL29" i="73"/>
  <c r="EL30" i="73"/>
  <c r="BB28" i="73"/>
  <c r="DE28" i="73"/>
  <c r="EA29" i="73"/>
  <c r="AF26" i="68"/>
  <c r="AQ26" i="68"/>
  <c r="BM24" i="68"/>
  <c r="BM27" i="68"/>
  <c r="CT27" i="68"/>
  <c r="DE29" i="68"/>
  <c r="DP30" i="68"/>
  <c r="EA31" i="68"/>
  <c r="U22" i="73"/>
  <c r="BM24" i="73"/>
  <c r="BM25" i="73"/>
  <c r="AF25" i="73"/>
  <c r="AF24" i="68"/>
  <c r="AQ24" i="68"/>
  <c r="BB24" i="68"/>
  <c r="BX24" i="68"/>
  <c r="BB27" i="68"/>
  <c r="BX27" i="68"/>
  <c r="DE27" i="68"/>
  <c r="DP28" i="68"/>
  <c r="EA29" i="68"/>
  <c r="J23" i="73"/>
  <c r="U23" i="68"/>
  <c r="AF27" i="68"/>
  <c r="BM28" i="68"/>
  <c r="CT28" i="68"/>
  <c r="DE30" i="68"/>
  <c r="DP31" i="68"/>
  <c r="EA32" i="68"/>
  <c r="AQ24" i="73"/>
  <c r="AQ25" i="73"/>
  <c r="AF25" i="68"/>
  <c r="AQ25" i="68"/>
  <c r="BX25" i="68"/>
  <c r="BB28" i="68"/>
  <c r="DE28" i="68"/>
  <c r="DP29" i="68"/>
  <c r="EA30" i="68"/>
  <c r="EL30" i="68"/>
  <c r="BB25" i="68"/>
  <c r="AF24" i="73"/>
  <c r="BX25" i="73"/>
  <c r="AF26" i="73"/>
  <c r="BX27" i="73"/>
  <c r="DP28" i="73"/>
  <c r="J23" i="68"/>
  <c r="AQ27" i="68"/>
  <c r="BM25" i="68"/>
  <c r="J22" i="73"/>
  <c r="BB24" i="73"/>
  <c r="BB25" i="73"/>
  <c r="AQ26" i="73"/>
  <c r="CT27" i="73"/>
  <c r="EA30" i="73"/>
  <c r="J22" i="68"/>
  <c r="BX28" i="68"/>
  <c r="EL29" i="68"/>
  <c r="BX24" i="73"/>
  <c r="AF27" i="73"/>
  <c r="CT28" i="73"/>
  <c r="DP29" i="73"/>
  <c r="U22" i="68"/>
  <c r="BB27" i="73"/>
  <c r="D77" i="56"/>
  <c r="G75" i="56" s="1"/>
  <c r="E24" i="56"/>
  <c r="C3" i="74"/>
  <c r="M3" i="74"/>
  <c r="EF6" i="73"/>
  <c r="EI6" i="73" s="1"/>
  <c r="EJ6" i="73" s="1"/>
  <c r="D7" i="73"/>
  <c r="G7" i="73" s="1"/>
  <c r="H7" i="73" s="1"/>
  <c r="EF11" i="73"/>
  <c r="EI11" i="73" s="1"/>
  <c r="EJ11" i="73" s="1"/>
  <c r="D10" i="73"/>
  <c r="G10" i="73" s="1"/>
  <c r="H10" i="73" s="1"/>
  <c r="EF12" i="73"/>
  <c r="EI12" i="73" s="1"/>
  <c r="EJ12" i="73" s="1"/>
  <c r="O10" i="73"/>
  <c r="R10" i="73" s="1"/>
  <c r="S10" i="73" s="1"/>
  <c r="O7" i="73"/>
  <c r="R7" i="73" s="1"/>
  <c r="S7" i="73" s="1"/>
  <c r="EF7" i="73"/>
  <c r="EI7" i="73" s="1"/>
  <c r="EJ7" i="73" s="1"/>
  <c r="DU41" i="73"/>
  <c r="CC38" i="73"/>
  <c r="AK36" i="73"/>
  <c r="DJ41" i="73"/>
  <c r="BR38" i="73"/>
  <c r="Z36" i="73"/>
  <c r="CY41" i="73"/>
  <c r="BG38" i="73"/>
  <c r="O36" i="73"/>
  <c r="AV38" i="73"/>
  <c r="EF41" i="73"/>
  <c r="D36" i="73"/>
  <c r="CN38" i="73"/>
  <c r="CC12" i="73"/>
  <c r="CF12" i="73" s="1"/>
  <c r="CG12" i="73" s="1"/>
  <c r="Z12" i="73"/>
  <c r="AC12" i="73" s="1"/>
  <c r="AD12" i="73" s="1"/>
  <c r="BG11" i="73"/>
  <c r="BJ11" i="73" s="1"/>
  <c r="BK11" i="73" s="1"/>
  <c r="Z8" i="73"/>
  <c r="AC8" i="73" s="1"/>
  <c r="AD8" i="73" s="1"/>
  <c r="BG7" i="73"/>
  <c r="BJ7" i="73" s="1"/>
  <c r="BK7" i="73" s="1"/>
  <c r="DJ6" i="73"/>
  <c r="DM6" i="73" s="1"/>
  <c r="DN6" i="73" s="1"/>
  <c r="CN12" i="73"/>
  <c r="CQ12" i="73" s="1"/>
  <c r="CR12" i="73" s="1"/>
  <c r="AK12" i="73"/>
  <c r="AN12" i="73" s="1"/>
  <c r="AO12" i="73" s="1"/>
  <c r="BR11" i="73"/>
  <c r="BU11" i="73" s="1"/>
  <c r="BV11" i="73" s="1"/>
  <c r="AK8" i="73"/>
  <c r="AN8" i="73" s="1"/>
  <c r="AO8" i="73" s="1"/>
  <c r="BR7" i="73"/>
  <c r="BU7" i="73" s="1"/>
  <c r="BV7" i="73" s="1"/>
  <c r="DU6" i="73"/>
  <c r="DX6" i="73" s="1"/>
  <c r="DY6" i="73" s="1"/>
  <c r="CY12" i="73"/>
  <c r="DB12" i="73" s="1"/>
  <c r="DC12" i="73" s="1"/>
  <c r="AV12" i="73"/>
  <c r="AY12" i="73" s="1"/>
  <c r="AZ12" i="73" s="1"/>
  <c r="CC11" i="73"/>
  <c r="CF11" i="73" s="1"/>
  <c r="CG11" i="73" s="1"/>
  <c r="AV8" i="73"/>
  <c r="AY8" i="73" s="1"/>
  <c r="AZ8" i="73" s="1"/>
  <c r="CC7" i="73"/>
  <c r="CF7" i="73" s="1"/>
  <c r="CG7" i="73" s="1"/>
  <c r="DJ12" i="73"/>
  <c r="DM12" i="73" s="1"/>
  <c r="DN12" i="73" s="1"/>
  <c r="CN11" i="73"/>
  <c r="CQ11" i="73" s="1"/>
  <c r="CR11" i="73" s="1"/>
  <c r="AK11" i="73"/>
  <c r="AN11" i="73" s="1"/>
  <c r="AO11" i="73" s="1"/>
  <c r="CN8" i="73"/>
  <c r="CQ8" i="73" s="1"/>
  <c r="CR8" i="73" s="1"/>
  <c r="CN7" i="73"/>
  <c r="CQ7" i="73" s="1"/>
  <c r="CR7" i="73" s="1"/>
  <c r="AK7" i="73"/>
  <c r="AN7" i="73" s="1"/>
  <c r="AO7" i="73" s="1"/>
  <c r="BR12" i="73"/>
  <c r="BU12" i="73" s="1"/>
  <c r="BV12" i="73" s="1"/>
  <c r="DU11" i="73"/>
  <c r="DX11" i="73" s="1"/>
  <c r="DY11" i="73" s="1"/>
  <c r="BG8" i="73"/>
  <c r="BJ8" i="73" s="1"/>
  <c r="BK8" i="73" s="1"/>
  <c r="AV11" i="73"/>
  <c r="AY11" i="73" s="1"/>
  <c r="AZ11" i="73" s="1"/>
  <c r="DJ11" i="73"/>
  <c r="DM11" i="73" s="1"/>
  <c r="DN11" i="73" s="1"/>
  <c r="DJ7" i="73"/>
  <c r="DM7" i="73" s="1"/>
  <c r="DN7" i="73" s="1"/>
  <c r="BR8" i="73"/>
  <c r="BU8" i="73" s="1"/>
  <c r="BV8" i="73" s="1"/>
  <c r="CY6" i="73"/>
  <c r="DB6" i="73" s="1"/>
  <c r="DC6" i="73" s="1"/>
  <c r="CN13" i="73"/>
  <c r="CQ13" i="73" s="1"/>
  <c r="CR13" i="73" s="1"/>
  <c r="Z11" i="73"/>
  <c r="AC11" i="73" s="1"/>
  <c r="AD11" i="73" s="1"/>
  <c r="CC8" i="73"/>
  <c r="CF8" i="73" s="1"/>
  <c r="CG8" i="73" s="1"/>
  <c r="Z7" i="73"/>
  <c r="AC7" i="73" s="1"/>
  <c r="AD7" i="73" s="1"/>
  <c r="DU12" i="73"/>
  <c r="DX12" i="73" s="1"/>
  <c r="DY12" i="73" s="1"/>
  <c r="CY11" i="73"/>
  <c r="DB11" i="73" s="1"/>
  <c r="DC11" i="73" s="1"/>
  <c r="CY7" i="73"/>
  <c r="DB7" i="73" s="1"/>
  <c r="DC7" i="73" s="1"/>
  <c r="AV7" i="73"/>
  <c r="AY7" i="73" s="1"/>
  <c r="AZ7" i="73" s="1"/>
  <c r="DU7" i="73"/>
  <c r="DX7" i="73" s="1"/>
  <c r="DY7" i="73" s="1"/>
  <c r="BM28" i="73"/>
  <c r="EA31" i="73"/>
  <c r="U23" i="73"/>
  <c r="C17" i="72"/>
  <c r="B25" i="72"/>
  <c r="H29" i="72" s="1"/>
  <c r="D77" i="51"/>
  <c r="C3" i="71"/>
  <c r="M3" i="71"/>
  <c r="C17" i="69"/>
  <c r="B25" i="69"/>
  <c r="EF41" i="68"/>
  <c r="DU41" i="68"/>
  <c r="DJ41" i="68"/>
  <c r="CY41" i="68"/>
  <c r="CN38" i="68"/>
  <c r="CC38" i="68"/>
  <c r="BR38" i="68"/>
  <c r="BG38" i="68"/>
  <c r="AV38" i="68"/>
  <c r="AK36" i="68"/>
  <c r="Z36" i="68"/>
  <c r="O36" i="68"/>
  <c r="D36" i="68"/>
  <c r="CN11" i="68"/>
  <c r="CQ11" i="68" s="1"/>
  <c r="CR11" i="68" s="1"/>
  <c r="DU11" i="68"/>
  <c r="DX11" i="68" s="1"/>
  <c r="DY11" i="68" s="1"/>
  <c r="BR11" i="68"/>
  <c r="BU11" i="68" s="1"/>
  <c r="BV11" i="68" s="1"/>
  <c r="CC8" i="68"/>
  <c r="CF8" i="68" s="1"/>
  <c r="CG8" i="68" s="1"/>
  <c r="AK8" i="68"/>
  <c r="AN8" i="68" s="1"/>
  <c r="AO8" i="68" s="1"/>
  <c r="CY7" i="68"/>
  <c r="DB7" i="68" s="1"/>
  <c r="DC7" i="68" s="1"/>
  <c r="DJ12" i="68"/>
  <c r="DM12" i="68" s="1"/>
  <c r="DN12" i="68" s="1"/>
  <c r="AV12" i="68"/>
  <c r="AY12" i="68" s="1"/>
  <c r="AZ12" i="68" s="1"/>
  <c r="CC7" i="68"/>
  <c r="CF7" i="68" s="1"/>
  <c r="CG7" i="68" s="1"/>
  <c r="AK7" i="68"/>
  <c r="AN7" i="68" s="1"/>
  <c r="AO7" i="68" s="1"/>
  <c r="CY6" i="68"/>
  <c r="DB6" i="68" s="1"/>
  <c r="DC6" i="68" s="1"/>
  <c r="AK12" i="68"/>
  <c r="AN12" i="68" s="1"/>
  <c r="AO12" i="68" s="1"/>
  <c r="Z7" i="68"/>
  <c r="AC7" i="68" s="1"/>
  <c r="AD7" i="68" s="1"/>
  <c r="AK11" i="68"/>
  <c r="AN11" i="68" s="1"/>
  <c r="AO11" i="68" s="1"/>
  <c r="DU7" i="68"/>
  <c r="DX7" i="68" s="1"/>
  <c r="DY7" i="68" s="1"/>
  <c r="CC12" i="68"/>
  <c r="CF12" i="68" s="1"/>
  <c r="CG12" i="68" s="1"/>
  <c r="DU6" i="68"/>
  <c r="DX6" i="68" s="1"/>
  <c r="DY6" i="68" s="1"/>
  <c r="CN13" i="68"/>
  <c r="CQ13" i="68" s="1"/>
  <c r="CR13" i="68" s="1"/>
  <c r="CN8" i="68"/>
  <c r="CQ8" i="68" s="1"/>
  <c r="CR8" i="68" s="1"/>
  <c r="DJ7" i="68"/>
  <c r="DM7" i="68" s="1"/>
  <c r="DN7" i="68" s="1"/>
  <c r="DU12" i="68"/>
  <c r="DX12" i="68" s="1"/>
  <c r="DY12" i="68" s="1"/>
  <c r="DJ6" i="68"/>
  <c r="DM6" i="68" s="1"/>
  <c r="DN6" i="68" s="1"/>
  <c r="DJ11" i="68"/>
  <c r="DM11" i="68" s="1"/>
  <c r="DN11" i="68" s="1"/>
  <c r="AV11" i="68"/>
  <c r="AY11" i="68" s="1"/>
  <c r="AZ11" i="68" s="1"/>
  <c r="BR8" i="68"/>
  <c r="BU8" i="68" s="1"/>
  <c r="BV8" i="68" s="1"/>
  <c r="Z8" i="68"/>
  <c r="AC8" i="68" s="1"/>
  <c r="AD8" i="68" s="1"/>
  <c r="CY12" i="68"/>
  <c r="DB12" i="68" s="1"/>
  <c r="DC12" i="68" s="1"/>
  <c r="BR7" i="68"/>
  <c r="BU7" i="68" s="1"/>
  <c r="BV7" i="68" s="1"/>
  <c r="CY11" i="68"/>
  <c r="DB11" i="68" s="1"/>
  <c r="DC11" i="68" s="1"/>
  <c r="BG11" i="68"/>
  <c r="BJ11" i="68" s="1"/>
  <c r="BK11" i="68" s="1"/>
  <c r="BG8" i="68"/>
  <c r="BJ8" i="68" s="1"/>
  <c r="BK8" i="68" s="1"/>
  <c r="Z12" i="68"/>
  <c r="AC12" i="68" s="1"/>
  <c r="AD12" i="68" s="1"/>
  <c r="BG7" i="68"/>
  <c r="BJ7" i="68" s="1"/>
  <c r="BK7" i="68" s="1"/>
  <c r="CC11" i="68"/>
  <c r="CF11" i="68" s="1"/>
  <c r="CG11" i="68" s="1"/>
  <c r="AV8" i="68"/>
  <c r="AY8" i="68" s="1"/>
  <c r="AZ8" i="68" s="1"/>
  <c r="CN12" i="68"/>
  <c r="CQ12" i="68" s="1"/>
  <c r="CR12" i="68" s="1"/>
  <c r="CN7" i="68"/>
  <c r="CQ7" i="68" s="1"/>
  <c r="CR7" i="68" s="1"/>
  <c r="Z11" i="68"/>
  <c r="AC11" i="68" s="1"/>
  <c r="AD11" i="68" s="1"/>
  <c r="BR12" i="68"/>
  <c r="BU12" i="68" s="1"/>
  <c r="BV12" i="68" s="1"/>
  <c r="AV7" i="68"/>
  <c r="AY7" i="68" s="1"/>
  <c r="AZ7" i="68" s="1"/>
  <c r="EK41" i="68"/>
  <c r="DZ41" i="68"/>
  <c r="DO41" i="68"/>
  <c r="DD41" i="68"/>
  <c r="AE36" i="68"/>
  <c r="T36" i="68"/>
  <c r="DZ24" i="68"/>
  <c r="EA24" i="68" s="1"/>
  <c r="CH25" i="68"/>
  <c r="CI25" i="68" s="1"/>
  <c r="EK22" i="68"/>
  <c r="EL22" i="68" s="1"/>
  <c r="CH21" i="68"/>
  <c r="CI21" i="68" s="1"/>
  <c r="AP22" i="68"/>
  <c r="AQ22" i="68" s="1"/>
  <c r="I20" i="68"/>
  <c r="J20" i="68" s="1"/>
  <c r="CS18" i="68"/>
  <c r="CT18" i="68" s="1"/>
  <c r="BA19" i="68"/>
  <c r="BB19" i="68" s="1"/>
  <c r="AE19" i="68"/>
  <c r="AF19" i="68" s="1"/>
  <c r="DD17" i="68"/>
  <c r="DE17" i="68" s="1"/>
  <c r="T14" i="68"/>
  <c r="U14" i="68" s="1"/>
  <c r="EK11" i="68"/>
  <c r="DZ12" i="68"/>
  <c r="DD14" i="68"/>
  <c r="DE14" i="68" s="1"/>
  <c r="DD11" i="68"/>
  <c r="BW11" i="68"/>
  <c r="T11" i="68"/>
  <c r="U11" i="68" s="1"/>
  <c r="CS7" i="68"/>
  <c r="BW9" i="68"/>
  <c r="BX9" i="68" s="1"/>
  <c r="BL7" i="68"/>
  <c r="AE7" i="68"/>
  <c r="EK6" i="68"/>
  <c r="DZ6" i="68"/>
  <c r="DO6" i="68"/>
  <c r="EK21" i="68"/>
  <c r="EL21" i="68" s="1"/>
  <c r="BW22" i="68"/>
  <c r="BX22" i="68" s="1"/>
  <c r="AP21" i="68"/>
  <c r="AQ21" i="68" s="1"/>
  <c r="DZ19" i="68"/>
  <c r="EA19" i="68" s="1"/>
  <c r="AE18" i="68"/>
  <c r="AF18" i="68" s="1"/>
  <c r="AE15" i="68"/>
  <c r="AF15" i="68" s="1"/>
  <c r="BL13" i="68"/>
  <c r="BM13" i="68" s="1"/>
  <c r="BA9" i="68"/>
  <c r="BB9" i="68" s="1"/>
  <c r="T8" i="68"/>
  <c r="U8" i="68" s="1"/>
  <c r="CH8" i="68"/>
  <c r="DZ8" i="68"/>
  <c r="EA8" i="68" s="1"/>
  <c r="AE22" i="68"/>
  <c r="AF22" i="68" s="1"/>
  <c r="EK19" i="68"/>
  <c r="EL19" i="68" s="1"/>
  <c r="DO15" i="68"/>
  <c r="DP15" i="68" s="1"/>
  <c r="AP15" i="68"/>
  <c r="AQ15" i="68" s="1"/>
  <c r="BL38" i="68"/>
  <c r="AP36" i="68"/>
  <c r="EK26" i="68"/>
  <c r="EL26" i="68" s="1"/>
  <c r="DZ27" i="68"/>
  <c r="EA27" i="68" s="1"/>
  <c r="DO26" i="68"/>
  <c r="DP26" i="68" s="1"/>
  <c r="DO23" i="68"/>
  <c r="DP23" i="68" s="1"/>
  <c r="DD23" i="68"/>
  <c r="DE23" i="68" s="1"/>
  <c r="BL21" i="68"/>
  <c r="BM21" i="68" s="1"/>
  <c r="DD19" i="68"/>
  <c r="DE19" i="68" s="1"/>
  <c r="BW18" i="68"/>
  <c r="BX18" i="68" s="1"/>
  <c r="I17" i="68"/>
  <c r="J17" i="68" s="1"/>
  <c r="CS15" i="68"/>
  <c r="CT15" i="68" s="1"/>
  <c r="BW15" i="68"/>
  <c r="BX15" i="68" s="1"/>
  <c r="BA15" i="68"/>
  <c r="BB15" i="68" s="1"/>
  <c r="I13" i="68"/>
  <c r="J13" i="68" s="1"/>
  <c r="EK14" i="68"/>
  <c r="EL14" i="68" s="1"/>
  <c r="DZ15" i="68"/>
  <c r="EA15" i="68" s="1"/>
  <c r="DZ11" i="68"/>
  <c r="CS13" i="68"/>
  <c r="CH12" i="68"/>
  <c r="BA13" i="68"/>
  <c r="BB13" i="68" s="1"/>
  <c r="AP12" i="68"/>
  <c r="CH9" i="68"/>
  <c r="CI9" i="68" s="1"/>
  <c r="AP8" i="68"/>
  <c r="EK9" i="68"/>
  <c r="EL9" i="68" s="1"/>
  <c r="DZ9" i="68"/>
  <c r="EA9" i="68" s="1"/>
  <c r="DO9" i="68"/>
  <c r="DP9" i="68" s="1"/>
  <c r="CH24" i="68"/>
  <c r="CI24" i="68" s="1"/>
  <c r="CS22" i="68"/>
  <c r="CT22" i="68" s="1"/>
  <c r="DO21" i="68"/>
  <c r="DP21" i="68" s="1"/>
  <c r="I19" i="68"/>
  <c r="J19" i="68" s="1"/>
  <c r="BA18" i="68"/>
  <c r="BB18" i="68" s="1"/>
  <c r="DD16" i="68"/>
  <c r="DE16" i="68" s="1"/>
  <c r="CH11" i="68"/>
  <c r="BW8" i="68"/>
  <c r="DD7" i="68"/>
  <c r="T7" i="68"/>
  <c r="DO8" i="68"/>
  <c r="DP8" i="68" s="1"/>
  <c r="DZ22" i="68"/>
  <c r="EA22" i="68" s="1"/>
  <c r="CH18" i="68"/>
  <c r="CI18" i="68" s="1"/>
  <c r="BL15" i="68"/>
  <c r="BM15" i="68" s="1"/>
  <c r="BW38" i="68"/>
  <c r="DZ26" i="68"/>
  <c r="EA26" i="68" s="1"/>
  <c r="CS25" i="68"/>
  <c r="CT25" i="68" s="1"/>
  <c r="DD22" i="68"/>
  <c r="DE22" i="68" s="1"/>
  <c r="T20" i="68"/>
  <c r="U20" i="68" s="1"/>
  <c r="CH19" i="68"/>
  <c r="CI19" i="68" s="1"/>
  <c r="I16" i="68"/>
  <c r="J16" i="68" s="1"/>
  <c r="CH16" i="68"/>
  <c r="CI16" i="68" s="1"/>
  <c r="BL16" i="68"/>
  <c r="BM16" i="68" s="1"/>
  <c r="AP16" i="68"/>
  <c r="AQ16" i="68" s="1"/>
  <c r="T13" i="68"/>
  <c r="U13" i="68" s="1"/>
  <c r="EK16" i="68"/>
  <c r="EL16" i="68" s="1"/>
  <c r="DZ14" i="68"/>
  <c r="EA14" i="68" s="1"/>
  <c r="DO13" i="68"/>
  <c r="DP13" i="68" s="1"/>
  <c r="DD13" i="68"/>
  <c r="DE13" i="68" s="1"/>
  <c r="CS12" i="68"/>
  <c r="BW13" i="68"/>
  <c r="BX13" i="68" s="1"/>
  <c r="BA12" i="68"/>
  <c r="AP11" i="68"/>
  <c r="T10" i="68"/>
  <c r="BW7" i="68"/>
  <c r="AP7" i="68"/>
  <c r="DD6" i="68"/>
  <c r="CH38" i="68"/>
  <c r="EK25" i="68"/>
  <c r="EL25" i="68" s="1"/>
  <c r="DO25" i="68"/>
  <c r="DP25" i="68" s="1"/>
  <c r="DD25" i="68"/>
  <c r="DE25" i="68" s="1"/>
  <c r="CS21" i="68"/>
  <c r="CT21" i="68" s="1"/>
  <c r="BW21" i="68"/>
  <c r="BX21" i="68" s="1"/>
  <c r="BA22" i="68"/>
  <c r="BB22" i="68" s="1"/>
  <c r="DO20" i="68"/>
  <c r="DP20" i="68" s="1"/>
  <c r="DZ18" i="68"/>
  <c r="EA18" i="68" s="1"/>
  <c r="BL19" i="68"/>
  <c r="BM19" i="68" s="1"/>
  <c r="AP19" i="68"/>
  <c r="AQ19" i="68" s="1"/>
  <c r="DO18" i="68"/>
  <c r="DP18" i="68" s="1"/>
  <c r="T17" i="68"/>
  <c r="U17" i="68" s="1"/>
  <c r="EK13" i="68"/>
  <c r="EL13" i="68" s="1"/>
  <c r="BL12" i="68"/>
  <c r="BM12" i="68" s="1"/>
  <c r="BA11" i="68"/>
  <c r="AE13" i="68"/>
  <c r="AF13" i="68" s="1"/>
  <c r="I11" i="68"/>
  <c r="J11" i="68" s="1"/>
  <c r="CS9" i="68"/>
  <c r="CT9" i="68" s="1"/>
  <c r="EK8" i="68"/>
  <c r="EL8" i="68" s="1"/>
  <c r="DD9" i="68"/>
  <c r="DE9" i="68" s="1"/>
  <c r="CS24" i="68"/>
  <c r="CT24" i="68" s="1"/>
  <c r="T19" i="68"/>
  <c r="U19" i="68" s="1"/>
  <c r="CH15" i="68"/>
  <c r="CI15" i="68" s="1"/>
  <c r="BA38" i="68"/>
  <c r="DZ25" i="68"/>
  <c r="EA25" i="68" s="1"/>
  <c r="AE21" i="68"/>
  <c r="AF21" i="68" s="1"/>
  <c r="EK18" i="68"/>
  <c r="EL18" i="68" s="1"/>
  <c r="BL18" i="68"/>
  <c r="BM18" i="68" s="1"/>
  <c r="I10" i="68"/>
  <c r="I8" i="68"/>
  <c r="J8" i="68" s="1"/>
  <c r="DO7" i="68"/>
  <c r="I7" i="68"/>
  <c r="EK12" i="68"/>
  <c r="AE11" i="68"/>
  <c r="CH34" i="68"/>
  <c r="CI34" i="68" s="1"/>
  <c r="AE16" i="68"/>
  <c r="AF16" i="68" s="1"/>
  <c r="DO12" i="68"/>
  <c r="I36" i="68"/>
  <c r="CS16" i="68"/>
  <c r="CT16" i="68" s="1"/>
  <c r="CS11" i="68"/>
  <c r="DD20" i="68"/>
  <c r="DE20" i="68" s="1"/>
  <c r="CH22" i="68"/>
  <c r="CI22" i="68" s="1"/>
  <c r="T16" i="68"/>
  <c r="U16" i="68" s="1"/>
  <c r="BA16" i="68"/>
  <c r="BB16" i="68" s="1"/>
  <c r="I14" i="68"/>
  <c r="J14" i="68" s="1"/>
  <c r="DZ13" i="68"/>
  <c r="EA13" i="68" s="1"/>
  <c r="EK7" i="68"/>
  <c r="DO24" i="68"/>
  <c r="DP24" i="68" s="1"/>
  <c r="DD12" i="68"/>
  <c r="BL11" i="68"/>
  <c r="BL8" i="68"/>
  <c r="AE12" i="68"/>
  <c r="BW19" i="68"/>
  <c r="BX19" i="68" s="1"/>
  <c r="AE9" i="68"/>
  <c r="AF9" i="68" s="1"/>
  <c r="EK27" i="68"/>
  <c r="EL27" i="68" s="1"/>
  <c r="BL22" i="68"/>
  <c r="BM22" i="68" s="1"/>
  <c r="AP18" i="68"/>
  <c r="AQ18" i="68" s="1"/>
  <c r="DO11" i="68"/>
  <c r="BA8" i="68"/>
  <c r="AP13" i="68"/>
  <c r="AQ13" i="68" s="1"/>
  <c r="BA7" i="68"/>
  <c r="DD8" i="68"/>
  <c r="DE8" i="68" s="1"/>
  <c r="BL9" i="68"/>
  <c r="BM9" i="68" s="1"/>
  <c r="AP9" i="68"/>
  <c r="AQ9" i="68" s="1"/>
  <c r="CS38" i="68"/>
  <c r="EK24" i="68"/>
  <c r="EL24" i="68" s="1"/>
  <c r="DZ21" i="68"/>
  <c r="EA21" i="68" s="1"/>
  <c r="BA21" i="68"/>
  <c r="BB21" i="68" s="1"/>
  <c r="DO17" i="68"/>
  <c r="DP17" i="68" s="1"/>
  <c r="BW16" i="68"/>
  <c r="BX16" i="68" s="1"/>
  <c r="BW12" i="68"/>
  <c r="CH7" i="68"/>
  <c r="DZ7" i="68"/>
  <c r="CS19" i="68"/>
  <c r="CT19" i="68" s="1"/>
  <c r="EK15" i="68"/>
  <c r="EL15" i="68" s="1"/>
  <c r="AE8" i="68"/>
  <c r="DD24" i="68"/>
  <c r="DE24" i="68" s="1"/>
  <c r="CH13" i="68"/>
  <c r="CI13" i="68" s="1"/>
  <c r="CS8" i="68"/>
  <c r="O10" i="68"/>
  <c r="R10" i="68" s="1"/>
  <c r="S10" i="68" s="1"/>
  <c r="D7" i="68"/>
  <c r="G7" i="68" s="1"/>
  <c r="H7" i="68" s="1"/>
  <c r="EF12" i="68"/>
  <c r="EI12" i="68" s="1"/>
  <c r="EJ12" i="68" s="1"/>
  <c r="O7" i="68"/>
  <c r="R7" i="68" s="1"/>
  <c r="S7" i="68" s="1"/>
  <c r="EF11" i="68"/>
  <c r="EI11" i="68" s="1"/>
  <c r="EJ11" i="68" s="1"/>
  <c r="EF7" i="68"/>
  <c r="EI7" i="68" s="1"/>
  <c r="EJ7" i="68" s="1"/>
  <c r="D10" i="68"/>
  <c r="G10" i="68" s="1"/>
  <c r="H10" i="68" s="1"/>
  <c r="EF6" i="68"/>
  <c r="EI6" i="68" s="1"/>
  <c r="EJ6" i="68" s="1"/>
  <c r="B24" i="51"/>
  <c r="E24" i="51"/>
  <c r="F9" i="51"/>
  <c r="F10" i="51"/>
  <c r="B37" i="74"/>
  <c r="L4" i="51"/>
  <c r="B116" i="56"/>
  <c r="B120" i="56"/>
  <c r="N224" i="60"/>
  <c r="B33" i="74"/>
  <c r="L4" i="56"/>
  <c r="AF8" i="68" l="1"/>
  <c r="EA7" i="68"/>
  <c r="AQ8" i="68"/>
  <c r="BB12" i="68"/>
  <c r="H29" i="69"/>
  <c r="N3" i="74"/>
  <c r="D3" i="74"/>
  <c r="N3" i="71"/>
  <c r="D3" i="71"/>
  <c r="EL11" i="68"/>
  <c r="BB7" i="68"/>
  <c r="DP6" i="68"/>
  <c r="CT13" i="68"/>
  <c r="CI11" i="68"/>
  <c r="EA11" i="68"/>
  <c r="U10" i="68"/>
  <c r="U7" i="68"/>
  <c r="CI12" i="68"/>
  <c r="AQ11" i="68"/>
  <c r="DE7" i="68"/>
  <c r="CI7" i="68"/>
  <c r="CT11" i="68"/>
  <c r="DP7" i="68"/>
  <c r="EA6" i="68"/>
  <c r="DE11" i="68"/>
  <c r="AF12" i="68"/>
  <c r="EL6" i="68"/>
  <c r="CT12" i="68"/>
  <c r="BX11" i="68"/>
  <c r="CT8" i="68"/>
  <c r="DE6" i="68"/>
  <c r="AQ7" i="68"/>
  <c r="DP12" i="68"/>
  <c r="BX7" i="68"/>
  <c r="AQ12" i="68"/>
  <c r="AF7" i="68"/>
  <c r="EA12" i="68"/>
  <c r="BB8" i="68"/>
  <c r="BX12" i="68"/>
  <c r="BM8" i="68"/>
  <c r="DP11" i="68"/>
  <c r="BM11" i="68"/>
  <c r="AF11" i="68"/>
  <c r="BX8" i="68"/>
  <c r="CI8" i="68"/>
  <c r="CT7" i="68"/>
  <c r="DE12" i="68"/>
  <c r="BB11" i="68"/>
  <c r="J10" i="68"/>
  <c r="BM7" i="68"/>
  <c r="EL7" i="68"/>
  <c r="EL12" i="68"/>
  <c r="J7" i="68"/>
  <c r="GD39" i="66"/>
  <c r="FS39" i="66"/>
  <c r="FH39" i="66"/>
  <c r="EW39" i="66"/>
  <c r="EL39" i="66"/>
  <c r="EA37" i="66"/>
  <c r="DP37" i="66"/>
  <c r="DE37" i="66"/>
  <c r="BX37" i="66"/>
  <c r="CT36" i="66"/>
  <c r="CI36" i="66"/>
  <c r="BM36" i="66"/>
  <c r="BB36" i="66"/>
  <c r="DD32" i="66"/>
  <c r="AQ32" i="66"/>
  <c r="AF32" i="66"/>
  <c r="U32" i="66"/>
  <c r="J32" i="66"/>
  <c r="GC30" i="66"/>
  <c r="GA30" i="66"/>
  <c r="GB30" i="66" s="1"/>
  <c r="DD30" i="66"/>
  <c r="GC29" i="66"/>
  <c r="GA29" i="66"/>
  <c r="GB29" i="66" s="1"/>
  <c r="FR28" i="66"/>
  <c r="FP28" i="66"/>
  <c r="FQ28" i="66" s="1"/>
  <c r="FG28" i="66"/>
  <c r="FE28" i="66"/>
  <c r="FF28" i="66" s="1"/>
  <c r="EV28" i="66"/>
  <c r="ET28" i="66"/>
  <c r="EU28" i="66" s="1"/>
  <c r="EK28" i="66"/>
  <c r="EI28" i="66"/>
  <c r="EJ28" i="66" s="1"/>
  <c r="CS28" i="66"/>
  <c r="CQ28" i="66"/>
  <c r="CR28" i="66" s="1"/>
  <c r="CH28" i="66"/>
  <c r="CF28" i="66"/>
  <c r="CG28" i="66" s="1"/>
  <c r="BW28" i="66"/>
  <c r="BU28" i="66"/>
  <c r="BV28" i="66" s="1"/>
  <c r="BL28" i="66"/>
  <c r="BJ28" i="66"/>
  <c r="BK28" i="66" s="1"/>
  <c r="BA28" i="66"/>
  <c r="AY28" i="66"/>
  <c r="AZ28" i="66" s="1"/>
  <c r="FR27" i="66"/>
  <c r="FP27" i="66"/>
  <c r="FQ27" i="66" s="1"/>
  <c r="FG27" i="66"/>
  <c r="FE27" i="66"/>
  <c r="FF27" i="66" s="1"/>
  <c r="EV27" i="66"/>
  <c r="ET27" i="66"/>
  <c r="EU27" i="66" s="1"/>
  <c r="EK27" i="66"/>
  <c r="EI27" i="66"/>
  <c r="EJ27" i="66" s="1"/>
  <c r="DZ27" i="66"/>
  <c r="DX27" i="66"/>
  <c r="DY27" i="66" s="1"/>
  <c r="DO27" i="66"/>
  <c r="DM27" i="66"/>
  <c r="DN27" i="66" s="1"/>
  <c r="DD27" i="66"/>
  <c r="DB27" i="66"/>
  <c r="DC27" i="66" s="1"/>
  <c r="CS27" i="66"/>
  <c r="CQ27" i="66"/>
  <c r="CR27" i="66" s="1"/>
  <c r="CH27" i="66"/>
  <c r="CF27" i="66"/>
  <c r="CG27" i="66" s="1"/>
  <c r="BW27" i="66"/>
  <c r="BU27" i="66"/>
  <c r="BV27" i="66" s="1"/>
  <c r="BL27" i="66"/>
  <c r="BJ27" i="66"/>
  <c r="BK27" i="66" s="1"/>
  <c r="BA27" i="66"/>
  <c r="AY27" i="66"/>
  <c r="AZ27" i="66" s="1"/>
  <c r="DX26" i="66"/>
  <c r="DY26" i="66" s="1"/>
  <c r="EA26" i="66" s="1"/>
  <c r="DO26" i="66"/>
  <c r="DM26" i="66"/>
  <c r="DN26" i="66" s="1"/>
  <c r="DD26" i="66"/>
  <c r="DB26" i="66"/>
  <c r="DC26" i="66" s="1"/>
  <c r="GA25" i="66"/>
  <c r="GB25" i="66" s="1"/>
  <c r="CS25" i="66"/>
  <c r="CQ25" i="66"/>
  <c r="CR25" i="66" s="1"/>
  <c r="CH25" i="66"/>
  <c r="CF25" i="66"/>
  <c r="CG25" i="66" s="1"/>
  <c r="BW25" i="66"/>
  <c r="BU25" i="66"/>
  <c r="BV25" i="66" s="1"/>
  <c r="BL25" i="66"/>
  <c r="BJ25" i="66"/>
  <c r="BK25" i="66" s="1"/>
  <c r="BA25" i="66"/>
  <c r="AY25" i="66"/>
  <c r="AZ25" i="66" s="1"/>
  <c r="GA24" i="66"/>
  <c r="GB24" i="66" s="1"/>
  <c r="DX24" i="66"/>
  <c r="DY24" i="66" s="1"/>
  <c r="DO24" i="66"/>
  <c r="DM24" i="66"/>
  <c r="DN24" i="66" s="1"/>
  <c r="DD24" i="66"/>
  <c r="DB24" i="66"/>
  <c r="DC24" i="66" s="1"/>
  <c r="CS24" i="66"/>
  <c r="CQ24" i="66"/>
  <c r="CR24" i="66" s="1"/>
  <c r="CH24" i="66"/>
  <c r="CF24" i="66"/>
  <c r="CG24" i="66" s="1"/>
  <c r="BW24" i="66"/>
  <c r="BU24" i="66"/>
  <c r="BV24" i="66" s="1"/>
  <c r="BL24" i="66"/>
  <c r="BJ24" i="66"/>
  <c r="BK24" i="66" s="1"/>
  <c r="BA24" i="66"/>
  <c r="AY24" i="66"/>
  <c r="AZ24" i="66" s="1"/>
  <c r="FP23" i="66"/>
  <c r="FQ23" i="66" s="1"/>
  <c r="FE23" i="66"/>
  <c r="FF23" i="66" s="1"/>
  <c r="ET23" i="66"/>
  <c r="EU23" i="66" s="1"/>
  <c r="EI23" i="66"/>
  <c r="EJ23" i="66" s="1"/>
  <c r="DX23" i="66"/>
  <c r="DY23" i="66" s="1"/>
  <c r="DO23" i="66"/>
  <c r="DM23" i="66"/>
  <c r="DN23" i="66" s="1"/>
  <c r="DD23" i="66"/>
  <c r="DB23" i="66"/>
  <c r="DC23" i="66" s="1"/>
  <c r="AP23" i="66"/>
  <c r="AN23" i="66"/>
  <c r="AO23" i="66" s="1"/>
  <c r="AE23" i="66"/>
  <c r="AC23" i="66"/>
  <c r="AD23" i="66" s="1"/>
  <c r="T23" i="66"/>
  <c r="R23" i="66"/>
  <c r="S23" i="66" s="1"/>
  <c r="I23" i="66"/>
  <c r="G23" i="66"/>
  <c r="H23" i="66" s="1"/>
  <c r="GA22" i="66"/>
  <c r="GB22" i="66" s="1"/>
  <c r="FP22" i="66"/>
  <c r="FQ22" i="66" s="1"/>
  <c r="FE22" i="66"/>
  <c r="FF22" i="66" s="1"/>
  <c r="ET22" i="66"/>
  <c r="EU22" i="66" s="1"/>
  <c r="EI22" i="66"/>
  <c r="EJ22" i="66" s="1"/>
  <c r="CQ22" i="66"/>
  <c r="CR22" i="66" s="1"/>
  <c r="CF22" i="66"/>
  <c r="CG22" i="66" s="1"/>
  <c r="BU22" i="66"/>
  <c r="BV22" i="66" s="1"/>
  <c r="BJ22" i="66"/>
  <c r="BK22" i="66" s="1"/>
  <c r="AY22" i="66"/>
  <c r="AZ22" i="66" s="1"/>
  <c r="AP22" i="66"/>
  <c r="AN22" i="66"/>
  <c r="AO22" i="66" s="1"/>
  <c r="AE22" i="66"/>
  <c r="AC22" i="66"/>
  <c r="AD22" i="66" s="1"/>
  <c r="T22" i="66"/>
  <c r="R22" i="66"/>
  <c r="S22" i="66" s="1"/>
  <c r="I22" i="66"/>
  <c r="G22" i="66"/>
  <c r="H22" i="66" s="1"/>
  <c r="GA21" i="66"/>
  <c r="GB21" i="66" s="1"/>
  <c r="DX21" i="66"/>
  <c r="DY21" i="66" s="1"/>
  <c r="DM21" i="66"/>
  <c r="DN21" i="66" s="1"/>
  <c r="DB21" i="66"/>
  <c r="DC21" i="66" s="1"/>
  <c r="CQ21" i="66"/>
  <c r="CR21" i="66" s="1"/>
  <c r="CF21" i="66"/>
  <c r="CG21" i="66" s="1"/>
  <c r="BU21" i="66"/>
  <c r="BV21" i="66" s="1"/>
  <c r="BJ21" i="66"/>
  <c r="BK21" i="66" s="1"/>
  <c r="AY21" i="66"/>
  <c r="AZ21" i="66" s="1"/>
  <c r="FP20" i="66"/>
  <c r="FQ20" i="66" s="1"/>
  <c r="FE20" i="66"/>
  <c r="FF20" i="66" s="1"/>
  <c r="ET20" i="66"/>
  <c r="EU20" i="66" s="1"/>
  <c r="EI20" i="66"/>
  <c r="EJ20" i="66" s="1"/>
  <c r="DX20" i="66"/>
  <c r="DY20" i="66" s="1"/>
  <c r="DM20" i="66"/>
  <c r="DN20" i="66" s="1"/>
  <c r="DB20" i="66"/>
  <c r="DC20" i="66" s="1"/>
  <c r="AN20" i="66"/>
  <c r="AO20" i="66" s="1"/>
  <c r="AC20" i="66"/>
  <c r="AD20" i="66" s="1"/>
  <c r="R20" i="66"/>
  <c r="S20" i="66" s="1"/>
  <c r="G20" i="66"/>
  <c r="H20" i="66" s="1"/>
  <c r="GA19" i="66"/>
  <c r="GB19" i="66" s="1"/>
  <c r="FP19" i="66"/>
  <c r="FQ19" i="66" s="1"/>
  <c r="FE19" i="66"/>
  <c r="FF19" i="66" s="1"/>
  <c r="ET19" i="66"/>
  <c r="EU19" i="66" s="1"/>
  <c r="EI19" i="66"/>
  <c r="EJ19" i="66" s="1"/>
  <c r="CQ19" i="66"/>
  <c r="CR19" i="66" s="1"/>
  <c r="CF19" i="66"/>
  <c r="CG19" i="66" s="1"/>
  <c r="BU19" i="66"/>
  <c r="BV19" i="66" s="1"/>
  <c r="BJ19" i="66"/>
  <c r="BK19" i="66" s="1"/>
  <c r="AY19" i="66"/>
  <c r="AZ19" i="66" s="1"/>
  <c r="AN19" i="66"/>
  <c r="AO19" i="66" s="1"/>
  <c r="AC19" i="66"/>
  <c r="AD19" i="66" s="1"/>
  <c r="R19" i="66"/>
  <c r="S19" i="66" s="1"/>
  <c r="G19" i="66"/>
  <c r="H19" i="66" s="1"/>
  <c r="GA18" i="66"/>
  <c r="GB18" i="66" s="1"/>
  <c r="DX18" i="66"/>
  <c r="DY18" i="66" s="1"/>
  <c r="DM18" i="66"/>
  <c r="DN18" i="66" s="1"/>
  <c r="DB18" i="66"/>
  <c r="DC18" i="66" s="1"/>
  <c r="CQ18" i="66"/>
  <c r="CR18" i="66" s="1"/>
  <c r="CF18" i="66"/>
  <c r="CG18" i="66" s="1"/>
  <c r="BU18" i="66"/>
  <c r="BV18" i="66" s="1"/>
  <c r="BJ18" i="66"/>
  <c r="BK18" i="66" s="1"/>
  <c r="AY18" i="66"/>
  <c r="AZ18" i="66" s="1"/>
  <c r="FP17" i="66"/>
  <c r="FQ17" i="66" s="1"/>
  <c r="FE17" i="66"/>
  <c r="FF17" i="66" s="1"/>
  <c r="ET17" i="66"/>
  <c r="EU17" i="66" s="1"/>
  <c r="EI17" i="66"/>
  <c r="EJ17" i="66" s="1"/>
  <c r="DX17" i="66"/>
  <c r="DY17" i="66" s="1"/>
  <c r="DM17" i="66"/>
  <c r="DN17" i="66" s="1"/>
  <c r="DB17" i="66"/>
  <c r="DC17" i="66" s="1"/>
  <c r="AN17" i="66"/>
  <c r="AO17" i="66" s="1"/>
  <c r="AC17" i="66"/>
  <c r="AD17" i="66" s="1"/>
  <c r="R17" i="66"/>
  <c r="S17" i="66" s="1"/>
  <c r="G17" i="66"/>
  <c r="H17" i="66" s="1"/>
  <c r="GA16" i="66"/>
  <c r="GB16" i="66" s="1"/>
  <c r="FP16" i="66"/>
  <c r="FQ16" i="66" s="1"/>
  <c r="FE16" i="66"/>
  <c r="FF16" i="66" s="1"/>
  <c r="ET16" i="66"/>
  <c r="EU16" i="66" s="1"/>
  <c r="EI16" i="66"/>
  <c r="EJ16" i="66" s="1"/>
  <c r="CQ16" i="66"/>
  <c r="CR16" i="66" s="1"/>
  <c r="CF16" i="66"/>
  <c r="CG16" i="66" s="1"/>
  <c r="BU16" i="66"/>
  <c r="BV16" i="66" s="1"/>
  <c r="BJ16" i="66"/>
  <c r="BK16" i="66" s="1"/>
  <c r="AY16" i="66"/>
  <c r="AZ16" i="66" s="1"/>
  <c r="AN16" i="66"/>
  <c r="AO16" i="66" s="1"/>
  <c r="AC16" i="66"/>
  <c r="AD16" i="66" s="1"/>
  <c r="R16" i="66"/>
  <c r="S16" i="66" s="1"/>
  <c r="G16" i="66"/>
  <c r="H16" i="66" s="1"/>
  <c r="GA15" i="66"/>
  <c r="GB15" i="66" s="1"/>
  <c r="FP15" i="66"/>
  <c r="FQ15" i="66" s="1"/>
  <c r="FE15" i="66"/>
  <c r="FF15" i="66" s="1"/>
  <c r="DX15" i="66"/>
  <c r="DY15" i="66" s="1"/>
  <c r="DM15" i="66"/>
  <c r="DN15" i="66" s="1"/>
  <c r="DB15" i="66"/>
  <c r="DC15" i="66" s="1"/>
  <c r="CQ15" i="66"/>
  <c r="CR15" i="66" s="1"/>
  <c r="CF15" i="66"/>
  <c r="CG15" i="66" s="1"/>
  <c r="BU15" i="66"/>
  <c r="BV15" i="66" s="1"/>
  <c r="BJ15" i="66"/>
  <c r="BK15" i="66" s="1"/>
  <c r="AY15" i="66"/>
  <c r="AZ15" i="66" s="1"/>
  <c r="GA14" i="66"/>
  <c r="GB14" i="66" s="1"/>
  <c r="FP14" i="66"/>
  <c r="FQ14" i="66" s="1"/>
  <c r="FE14" i="66"/>
  <c r="FF14" i="66" s="1"/>
  <c r="ET14" i="66"/>
  <c r="EU14" i="66" s="1"/>
  <c r="EI14" i="66"/>
  <c r="EJ14" i="66" s="1"/>
  <c r="DX14" i="66"/>
  <c r="DY14" i="66" s="1"/>
  <c r="DM14" i="66"/>
  <c r="DN14" i="66" s="1"/>
  <c r="DB14" i="66"/>
  <c r="DC14" i="66" s="1"/>
  <c r="AN14" i="66"/>
  <c r="AO14" i="66" s="1"/>
  <c r="AC14" i="66"/>
  <c r="AD14" i="66" s="1"/>
  <c r="R14" i="66"/>
  <c r="S14" i="66" s="1"/>
  <c r="G14" i="66"/>
  <c r="H14" i="66" s="1"/>
  <c r="GA13" i="66"/>
  <c r="GB13" i="66" s="1"/>
  <c r="FP13" i="66"/>
  <c r="FQ13" i="66" s="1"/>
  <c r="FE13" i="66"/>
  <c r="FF13" i="66" s="1"/>
  <c r="ET13" i="66"/>
  <c r="EU13" i="66" s="1"/>
  <c r="EI13" i="66"/>
  <c r="EJ13" i="66" s="1"/>
  <c r="CQ13" i="66"/>
  <c r="CR13" i="66" s="1"/>
  <c r="CF13" i="66"/>
  <c r="CG13" i="66" s="1"/>
  <c r="BU13" i="66"/>
  <c r="BV13" i="66" s="1"/>
  <c r="BJ13" i="66"/>
  <c r="BK13" i="66" s="1"/>
  <c r="AY13" i="66"/>
  <c r="AZ13" i="66" s="1"/>
  <c r="AN13" i="66"/>
  <c r="AO13" i="66" s="1"/>
  <c r="AC13" i="66"/>
  <c r="AD13" i="66" s="1"/>
  <c r="R13" i="66"/>
  <c r="S13" i="66" s="1"/>
  <c r="G13" i="66"/>
  <c r="H13" i="66" s="1"/>
  <c r="DX12" i="66"/>
  <c r="DY12" i="66" s="1"/>
  <c r="DM12" i="66"/>
  <c r="DN12" i="66" s="1"/>
  <c r="DB12" i="66"/>
  <c r="DC12" i="66" s="1"/>
  <c r="AN11" i="66"/>
  <c r="AO11" i="66" s="1"/>
  <c r="AC11" i="66"/>
  <c r="AD11" i="66" s="1"/>
  <c r="R11" i="66"/>
  <c r="S11" i="66" s="1"/>
  <c r="G11" i="66"/>
  <c r="H11" i="66" s="1"/>
  <c r="GA9" i="66"/>
  <c r="GB9" i="66" s="1"/>
  <c r="FP9" i="66"/>
  <c r="FQ9" i="66" s="1"/>
  <c r="FE9" i="66"/>
  <c r="FF9" i="66" s="1"/>
  <c r="ET9" i="66"/>
  <c r="EU9" i="66" s="1"/>
  <c r="EI9" i="66"/>
  <c r="EJ9" i="66" s="1"/>
  <c r="CQ9" i="66"/>
  <c r="CR9" i="66" s="1"/>
  <c r="CF9" i="66"/>
  <c r="CG9" i="66" s="1"/>
  <c r="BU9" i="66"/>
  <c r="BV9" i="66" s="1"/>
  <c r="BJ9" i="66"/>
  <c r="BK9" i="66" s="1"/>
  <c r="AY9" i="66"/>
  <c r="AZ9" i="66" s="1"/>
  <c r="GA8" i="66"/>
  <c r="GB8" i="66" s="1"/>
  <c r="FP8" i="66"/>
  <c r="FQ8" i="66" s="1"/>
  <c r="FE8" i="66"/>
  <c r="FF8" i="66" s="1"/>
  <c r="ET8" i="66"/>
  <c r="EU8" i="66" s="1"/>
  <c r="EI8" i="66"/>
  <c r="EJ8" i="66" s="1"/>
  <c r="DX8" i="66"/>
  <c r="DY8" i="66" s="1"/>
  <c r="DM8" i="66"/>
  <c r="DN8" i="66" s="1"/>
  <c r="DB8" i="66"/>
  <c r="DC8" i="66" s="1"/>
  <c r="AN8" i="66"/>
  <c r="AO8" i="66" s="1"/>
  <c r="AC8" i="66"/>
  <c r="AD8" i="66" s="1"/>
  <c r="R8" i="66"/>
  <c r="S8" i="66" s="1"/>
  <c r="G8" i="66"/>
  <c r="H8" i="66" s="1"/>
  <c r="FE7" i="66"/>
  <c r="FF7" i="66" s="1"/>
  <c r="E26" i="64"/>
  <c r="B26" i="64"/>
  <c r="E23" i="64"/>
  <c r="B23" i="64"/>
  <c r="E22" i="64"/>
  <c r="B22" i="64"/>
  <c r="F20" i="64"/>
  <c r="R2" i="64" s="1"/>
  <c r="D20" i="64"/>
  <c r="F19" i="64"/>
  <c r="O2" i="64" s="1"/>
  <c r="D19" i="64"/>
  <c r="G15" i="64"/>
  <c r="C15" i="64"/>
  <c r="D14" i="64"/>
  <c r="E12" i="64"/>
  <c r="G10" i="64"/>
  <c r="G9" i="64"/>
  <c r="B6" i="64"/>
  <c r="B5" i="64"/>
  <c r="B4" i="64"/>
  <c r="E43" i="67"/>
  <c r="B51" i="66"/>
  <c r="E39" i="67"/>
  <c r="E44" i="65"/>
  <c r="E58" i="67"/>
  <c r="E64" i="67"/>
  <c r="E43" i="69"/>
  <c r="E37" i="67"/>
  <c r="E36" i="67"/>
  <c r="B47" i="66"/>
  <c r="L5" i="56"/>
  <c r="L5" i="51"/>
  <c r="E67" i="67"/>
  <c r="B54" i="66"/>
  <c r="E32" i="67"/>
  <c r="E35" i="67"/>
  <c r="E54" i="67"/>
  <c r="B56" i="66"/>
  <c r="E45" i="67"/>
  <c r="BX27" i="66" l="1"/>
  <c r="DP27" i="66"/>
  <c r="EA27" i="66"/>
  <c r="FS27" i="66"/>
  <c r="BB24" i="66"/>
  <c r="FS28" i="66"/>
  <c r="AQ22" i="66"/>
  <c r="CI28" i="66"/>
  <c r="U23" i="66"/>
  <c r="EW27" i="66"/>
  <c r="BM28" i="66"/>
  <c r="FH28" i="66"/>
  <c r="AQ23" i="66"/>
  <c r="EW28" i="66"/>
  <c r="U22" i="66"/>
  <c r="CI24" i="66"/>
  <c r="DP26" i="66"/>
  <c r="BX28" i="66"/>
  <c r="GD29" i="66"/>
  <c r="DP23" i="66"/>
  <c r="BB27" i="66"/>
  <c r="CT27" i="66"/>
  <c r="BX24" i="66"/>
  <c r="DP24" i="66"/>
  <c r="DE26" i="66"/>
  <c r="DE27" i="66"/>
  <c r="AF22" i="66"/>
  <c r="J23" i="66"/>
  <c r="DE23" i="66"/>
  <c r="CI25" i="66"/>
  <c r="FH27" i="66"/>
  <c r="EL28" i="66"/>
  <c r="AF23" i="66"/>
  <c r="BM25" i="66"/>
  <c r="BM27" i="66"/>
  <c r="EL27" i="66"/>
  <c r="CT24" i="66"/>
  <c r="BX25" i="66"/>
  <c r="CI27" i="66"/>
  <c r="BB28" i="66"/>
  <c r="CT25" i="66"/>
  <c r="BM24" i="66"/>
  <c r="DE24" i="66"/>
  <c r="BB25" i="66"/>
  <c r="CT28" i="66"/>
  <c r="O3" i="74"/>
  <c r="E3" i="74"/>
  <c r="E3" i="71"/>
  <c r="O3" i="71"/>
  <c r="E24" i="64"/>
  <c r="F15" i="64"/>
  <c r="E15" i="64"/>
  <c r="K83" i="64"/>
  <c r="D10" i="69"/>
  <c r="M3" i="67"/>
  <c r="C3" i="67"/>
  <c r="K84" i="64"/>
  <c r="DL30" i="66"/>
  <c r="F25" i="66"/>
  <c r="CP31" i="66"/>
  <c r="AX31" i="66"/>
  <c r="BI31" i="66"/>
  <c r="Q25" i="66"/>
  <c r="AM25" i="66"/>
  <c r="CE31" i="66"/>
  <c r="AB25" i="66"/>
  <c r="BT31" i="66"/>
  <c r="EQ41" i="66"/>
  <c r="EF41" i="66"/>
  <c r="CC40" i="66"/>
  <c r="DJ41" i="66"/>
  <c r="BG40" i="66"/>
  <c r="FX41" i="66"/>
  <c r="AV40" i="66"/>
  <c r="AK36" i="66"/>
  <c r="D36" i="66"/>
  <c r="DU41" i="66"/>
  <c r="CY41" i="66"/>
  <c r="BR40" i="66"/>
  <c r="Z36" i="66"/>
  <c r="FM41" i="66"/>
  <c r="O36" i="66"/>
  <c r="FB41" i="66"/>
  <c r="CN38" i="66"/>
  <c r="FB34" i="66"/>
  <c r="FE34" i="66" s="1"/>
  <c r="FF34" i="66" s="1"/>
  <c r="CN33" i="66"/>
  <c r="AV33" i="66"/>
  <c r="CY32" i="66"/>
  <c r="DB32" i="66" s="1"/>
  <c r="DC32" i="66" s="1"/>
  <c r="DE32" i="66" s="1"/>
  <c r="CC31" i="66"/>
  <c r="O27" i="66"/>
  <c r="EF36" i="66"/>
  <c r="EI36" i="66" s="1"/>
  <c r="EJ36" i="66" s="1"/>
  <c r="DJ30" i="66"/>
  <c r="D25" i="66"/>
  <c r="FM34" i="66"/>
  <c r="FP34" i="66" s="1"/>
  <c r="FQ34" i="66" s="1"/>
  <c r="DJ32" i="66"/>
  <c r="DU30" i="66"/>
  <c r="DX30" i="66" s="1"/>
  <c r="DY30" i="66" s="1"/>
  <c r="O25" i="66"/>
  <c r="DU32" i="66"/>
  <c r="DX32" i="66" s="1"/>
  <c r="DY32" i="66" s="1"/>
  <c r="BG33" i="66"/>
  <c r="AK27" i="66"/>
  <c r="EF34" i="66"/>
  <c r="EI34" i="66" s="1"/>
  <c r="EJ34" i="66" s="1"/>
  <c r="CC33" i="66"/>
  <c r="BG31" i="66"/>
  <c r="FX36" i="66"/>
  <c r="GA36" i="66" s="1"/>
  <c r="GB36" i="66" s="1"/>
  <c r="AV31" i="66"/>
  <c r="CY30" i="66"/>
  <c r="DB30" i="66" s="1"/>
  <c r="DC30" i="66" s="1"/>
  <c r="DE30" i="66" s="1"/>
  <c r="D27" i="66"/>
  <c r="FM36" i="66"/>
  <c r="FP36" i="66" s="1"/>
  <c r="FQ36" i="66" s="1"/>
  <c r="EQ34" i="66"/>
  <c r="ET34" i="66" s="1"/>
  <c r="EU34" i="66" s="1"/>
  <c r="BR33" i="66"/>
  <c r="BR31" i="66"/>
  <c r="Z10" i="66"/>
  <c r="AC10" i="66" s="1"/>
  <c r="AD10" i="66" s="1"/>
  <c r="D10" i="66"/>
  <c r="G10" i="66" s="1"/>
  <c r="H10" i="66" s="1"/>
  <c r="O7" i="66"/>
  <c r="R7" i="66" s="1"/>
  <c r="S7" i="66" s="1"/>
  <c r="FB36" i="66"/>
  <c r="FE36" i="66" s="1"/>
  <c r="FF36" i="66" s="1"/>
  <c r="AK25" i="66"/>
  <c r="Z7" i="66"/>
  <c r="AC7" i="66" s="1"/>
  <c r="AD7" i="66" s="1"/>
  <c r="EQ36" i="66"/>
  <c r="ET36" i="66" s="1"/>
  <c r="EU36" i="66" s="1"/>
  <c r="FX34" i="66"/>
  <c r="GA34" i="66" s="1"/>
  <c r="GB34" i="66" s="1"/>
  <c r="O10" i="66"/>
  <c r="R10" i="66" s="1"/>
  <c r="S10" i="66" s="1"/>
  <c r="CN31" i="66"/>
  <c r="AK7" i="66"/>
  <c r="AN7" i="66" s="1"/>
  <c r="AO7" i="66" s="1"/>
  <c r="Z27" i="66"/>
  <c r="Z25" i="66"/>
  <c r="D7" i="66"/>
  <c r="G7" i="66" s="1"/>
  <c r="H7" i="66" s="1"/>
  <c r="AK10" i="66"/>
  <c r="AN10" i="66" s="1"/>
  <c r="AO10" i="66" s="1"/>
  <c r="FB12" i="66"/>
  <c r="FE12" i="66" s="1"/>
  <c r="FF12" i="66" s="1"/>
  <c r="FM12" i="66"/>
  <c r="FP12" i="66" s="1"/>
  <c r="FQ12" i="66" s="1"/>
  <c r="BR12" i="66"/>
  <c r="BU12" i="66" s="1"/>
  <c r="BV12" i="66" s="1"/>
  <c r="DU11" i="66"/>
  <c r="DX11" i="66" s="1"/>
  <c r="DY11" i="66" s="1"/>
  <c r="DU10" i="66"/>
  <c r="DX10" i="66" s="1"/>
  <c r="DY10" i="66" s="1"/>
  <c r="AV12" i="66"/>
  <c r="AY12" i="66" s="1"/>
  <c r="AZ12" i="66" s="1"/>
  <c r="CY11" i="66"/>
  <c r="DB11" i="66" s="1"/>
  <c r="DC11" i="66" s="1"/>
  <c r="CY10" i="66"/>
  <c r="DB10" i="66" s="1"/>
  <c r="DC10" i="66" s="1"/>
  <c r="BR8" i="66"/>
  <c r="BU8" i="66" s="1"/>
  <c r="BV8" i="66" s="1"/>
  <c r="BR7" i="66"/>
  <c r="BU7" i="66" s="1"/>
  <c r="BV7" i="66" s="1"/>
  <c r="FM6" i="66"/>
  <c r="FP6" i="66" s="1"/>
  <c r="FQ6" i="66" s="1"/>
  <c r="AV11" i="66"/>
  <c r="AY11" i="66" s="1"/>
  <c r="AZ11" i="66" s="1"/>
  <c r="AV8" i="66"/>
  <c r="AY8" i="66" s="1"/>
  <c r="AZ8" i="66" s="1"/>
  <c r="EQ6" i="66"/>
  <c r="ET6" i="66" s="1"/>
  <c r="EU6" i="66" s="1"/>
  <c r="FB6" i="66"/>
  <c r="FE6" i="66" s="1"/>
  <c r="FF6" i="66" s="1"/>
  <c r="FX12" i="66"/>
  <c r="GA12" i="66" s="1"/>
  <c r="GB12" i="66" s="1"/>
  <c r="FM11" i="66"/>
  <c r="FP11" i="66" s="1"/>
  <c r="FQ11" i="66" s="1"/>
  <c r="EQ11" i="66"/>
  <c r="ET11" i="66" s="1"/>
  <c r="EU11" i="66" s="1"/>
  <c r="CY7" i="66"/>
  <c r="DB7" i="66" s="1"/>
  <c r="DC7" i="66" s="1"/>
  <c r="DJ6" i="66"/>
  <c r="DM6" i="66" s="1"/>
  <c r="DN6" i="66" s="1"/>
  <c r="EF7" i="66"/>
  <c r="EI7" i="66" s="1"/>
  <c r="EJ7" i="66" s="1"/>
  <c r="AV7" i="66"/>
  <c r="AY7" i="66" s="1"/>
  <c r="AZ7" i="66" s="1"/>
  <c r="FB11" i="66"/>
  <c r="FE11" i="66" s="1"/>
  <c r="FF11" i="66" s="1"/>
  <c r="EQ7" i="66"/>
  <c r="ET7" i="66" s="1"/>
  <c r="EU7" i="66" s="1"/>
  <c r="EQ12" i="66"/>
  <c r="ET12" i="66" s="1"/>
  <c r="EU12" i="66" s="1"/>
  <c r="CN12" i="66"/>
  <c r="CQ12" i="66" s="1"/>
  <c r="CR12" i="66" s="1"/>
  <c r="BR11" i="66"/>
  <c r="BU11" i="66" s="1"/>
  <c r="BV11" i="66" s="1"/>
  <c r="CC8" i="66"/>
  <c r="CF8" i="66" s="1"/>
  <c r="CG8" i="66" s="1"/>
  <c r="CC7" i="66"/>
  <c r="CF7" i="66" s="1"/>
  <c r="CG7" i="66" s="1"/>
  <c r="FX6" i="66"/>
  <c r="GA6" i="66" s="1"/>
  <c r="GB6" i="66" s="1"/>
  <c r="EF11" i="66"/>
  <c r="EI11" i="66" s="1"/>
  <c r="EJ11" i="66" s="1"/>
  <c r="DJ11" i="66"/>
  <c r="DM11" i="66" s="1"/>
  <c r="DN11" i="66" s="1"/>
  <c r="CN11" i="66"/>
  <c r="CQ11" i="66" s="1"/>
  <c r="CR11" i="66" s="1"/>
  <c r="FM7" i="66"/>
  <c r="FP7" i="66" s="1"/>
  <c r="FQ7" i="66" s="1"/>
  <c r="DJ7" i="66"/>
  <c r="DM7" i="66" s="1"/>
  <c r="DN7" i="66" s="1"/>
  <c r="DU6" i="66"/>
  <c r="DX6" i="66" s="1"/>
  <c r="DY6" i="66" s="1"/>
  <c r="BG8" i="66"/>
  <c r="BJ8" i="66" s="1"/>
  <c r="BK8" i="66" s="1"/>
  <c r="BG7" i="66"/>
  <c r="BJ7" i="66" s="1"/>
  <c r="BK7" i="66" s="1"/>
  <c r="CC11" i="66"/>
  <c r="CF11" i="66" s="1"/>
  <c r="CG11" i="66" s="1"/>
  <c r="BG11" i="66"/>
  <c r="BJ11" i="66" s="1"/>
  <c r="BK11" i="66" s="1"/>
  <c r="DU7" i="66"/>
  <c r="DX7" i="66" s="1"/>
  <c r="DY7" i="66" s="1"/>
  <c r="CC12" i="66"/>
  <c r="CF12" i="66" s="1"/>
  <c r="CG12" i="66" s="1"/>
  <c r="FX7" i="66"/>
  <c r="GA7" i="66" s="1"/>
  <c r="GB7" i="66" s="1"/>
  <c r="BG12" i="66"/>
  <c r="BJ12" i="66" s="1"/>
  <c r="BK12" i="66" s="1"/>
  <c r="CN7" i="66"/>
  <c r="CQ7" i="66" s="1"/>
  <c r="CR7" i="66" s="1"/>
  <c r="EF12" i="66"/>
  <c r="EI12" i="66" s="1"/>
  <c r="EJ12" i="66" s="1"/>
  <c r="CN8" i="66"/>
  <c r="CQ8" i="66" s="1"/>
  <c r="CR8" i="66" s="1"/>
  <c r="EF6" i="66"/>
  <c r="EI6" i="66" s="1"/>
  <c r="EJ6" i="66" s="1"/>
  <c r="DJ10" i="66"/>
  <c r="DM10" i="66" s="1"/>
  <c r="DN10" i="66" s="1"/>
  <c r="CY6" i="66"/>
  <c r="DB6" i="66" s="1"/>
  <c r="DC6" i="66" s="1"/>
  <c r="FX11" i="66"/>
  <c r="GA11" i="66" s="1"/>
  <c r="GB11" i="66" s="1"/>
  <c r="GD30" i="66"/>
  <c r="J22" i="66"/>
  <c r="B25" i="65"/>
  <c r="C17" i="65"/>
  <c r="B24" i="64"/>
  <c r="H24" i="64"/>
  <c r="E12" i="50"/>
  <c r="E66" i="67"/>
  <c r="B50" i="66"/>
  <c r="E58" i="63"/>
  <c r="E60" i="67"/>
  <c r="L6" i="51"/>
  <c r="L6" i="56"/>
  <c r="B56" i="48"/>
  <c r="F3" i="74" l="1"/>
  <c r="P3" i="74"/>
  <c r="E25" i="64"/>
  <c r="P3" i="71"/>
  <c r="F3" i="71"/>
  <c r="G83" i="64"/>
  <c r="H83" i="64" s="1"/>
  <c r="I24" i="64"/>
  <c r="H29" i="65"/>
  <c r="CF31" i="66"/>
  <c r="CG31" i="66" s="1"/>
  <c r="D3" i="67"/>
  <c r="N3" i="67"/>
  <c r="BJ31" i="66"/>
  <c r="BK31" i="66" s="1"/>
  <c r="AY31" i="66"/>
  <c r="AZ31" i="66" s="1"/>
  <c r="BU31" i="66"/>
  <c r="BV31" i="66" s="1"/>
  <c r="AC25" i="66"/>
  <c r="AD25" i="66" s="1"/>
  <c r="DM30" i="66"/>
  <c r="DN30" i="66" s="1"/>
  <c r="FA41" i="66"/>
  <c r="C36" i="66"/>
  <c r="EP41" i="66"/>
  <c r="DT41" i="66"/>
  <c r="BQ40" i="66"/>
  <c r="CM38" i="66"/>
  <c r="CX41" i="66"/>
  <c r="CB40" i="66"/>
  <c r="FW41" i="66"/>
  <c r="AU40" i="66"/>
  <c r="AJ36" i="66"/>
  <c r="DI41" i="66"/>
  <c r="N36" i="66"/>
  <c r="FL41" i="66"/>
  <c r="BF40" i="66"/>
  <c r="EE41" i="66"/>
  <c r="Y36" i="66"/>
  <c r="CQ31" i="66"/>
  <c r="CR31" i="66" s="1"/>
  <c r="R25" i="66"/>
  <c r="S25" i="66" s="1"/>
  <c r="G25" i="66"/>
  <c r="H25" i="66" s="1"/>
  <c r="AN25" i="66"/>
  <c r="AO25" i="66" s="1"/>
  <c r="G10" i="50"/>
  <c r="G9" i="50"/>
  <c r="G15" i="50"/>
  <c r="E60" i="63"/>
  <c r="L7" i="56"/>
  <c r="E45" i="63"/>
  <c r="E43" i="63"/>
  <c r="E39" i="63"/>
  <c r="E32" i="63"/>
  <c r="L7" i="51"/>
  <c r="E64" i="63"/>
  <c r="E37" i="63"/>
  <c r="E36" i="63"/>
  <c r="E54" i="63"/>
  <c r="E35" i="63"/>
  <c r="Q3" i="74" l="1"/>
  <c r="G3" i="74"/>
  <c r="G3" i="71"/>
  <c r="Q3" i="71"/>
  <c r="E3" i="67"/>
  <c r="O3" i="67"/>
  <c r="C3" i="63"/>
  <c r="M3" i="63"/>
  <c r="N3" i="63" s="1"/>
  <c r="O3" i="63" s="1"/>
  <c r="E23" i="50"/>
  <c r="E22" i="50"/>
  <c r="E26" i="50"/>
  <c r="B26" i="50"/>
  <c r="B23" i="50"/>
  <c r="B22" i="50"/>
  <c r="E50" i="63"/>
  <c r="E46" i="63"/>
  <c r="E44" i="67"/>
  <c r="L8" i="51"/>
  <c r="O226" i="60"/>
  <c r="B48" i="66"/>
  <c r="E50" i="67"/>
  <c r="E47" i="63"/>
  <c r="E43" i="65"/>
  <c r="E48" i="63"/>
  <c r="E44" i="63"/>
  <c r="E57" i="67"/>
  <c r="E57" i="63"/>
  <c r="E46" i="67"/>
  <c r="L8" i="56"/>
  <c r="E47" i="67"/>
  <c r="L4" i="64"/>
  <c r="L4" i="50"/>
  <c r="E48" i="67"/>
  <c r="H3" i="74" l="1"/>
  <c r="R3" i="74"/>
  <c r="R3" i="71"/>
  <c r="H3" i="71"/>
  <c r="P3" i="67"/>
  <c r="F3" i="67"/>
  <c r="GC41" i="66"/>
  <c r="AE36" i="66"/>
  <c r="FR34" i="66"/>
  <c r="FS34" i="66" s="1"/>
  <c r="BW33" i="66"/>
  <c r="BL31" i="66"/>
  <c r="BM31" i="66" s="1"/>
  <c r="DZ30" i="66"/>
  <c r="EA30" i="66" s="1"/>
  <c r="AP27" i="66"/>
  <c r="FR41" i="66"/>
  <c r="EV36" i="66"/>
  <c r="EW36" i="66" s="1"/>
  <c r="T36" i="66"/>
  <c r="AE25" i="66"/>
  <c r="AF25" i="66" s="1"/>
  <c r="EV41" i="66"/>
  <c r="GC34" i="66"/>
  <c r="GD34" i="66" s="1"/>
  <c r="GC25" i="66"/>
  <c r="GD25" i="66" s="1"/>
  <c r="AP25" i="66"/>
  <c r="AQ25" i="66" s="1"/>
  <c r="GC24" i="66"/>
  <c r="GD24" i="66" s="1"/>
  <c r="FG23" i="66"/>
  <c r="FH23" i="66" s="1"/>
  <c r="EK23" i="66"/>
  <c r="EL23" i="66" s="1"/>
  <c r="GC22" i="66"/>
  <c r="GD22" i="66" s="1"/>
  <c r="FG22" i="66"/>
  <c r="FH22" i="66" s="1"/>
  <c r="EK22" i="66"/>
  <c r="EL22" i="66" s="1"/>
  <c r="CH22" i="66"/>
  <c r="CI22" i="66" s="1"/>
  <c r="BL22" i="66"/>
  <c r="BM22" i="66" s="1"/>
  <c r="GC21" i="66"/>
  <c r="GD21" i="66" s="1"/>
  <c r="DO21" i="66"/>
  <c r="DP21" i="66" s="1"/>
  <c r="CS21" i="66"/>
  <c r="CT21" i="66" s="1"/>
  <c r="BW21" i="66"/>
  <c r="BX21" i="66" s="1"/>
  <c r="BA21" i="66"/>
  <c r="BB21" i="66" s="1"/>
  <c r="FG20" i="66"/>
  <c r="FH20" i="66" s="1"/>
  <c r="EK20" i="66"/>
  <c r="EL20" i="66" s="1"/>
  <c r="DO20" i="66"/>
  <c r="DP20" i="66" s="1"/>
  <c r="AP20" i="66"/>
  <c r="AQ20" i="66" s="1"/>
  <c r="T20" i="66"/>
  <c r="U20" i="66" s="1"/>
  <c r="GC19" i="66"/>
  <c r="GD19" i="66" s="1"/>
  <c r="FG19" i="66"/>
  <c r="FH19" i="66" s="1"/>
  <c r="EK19" i="66"/>
  <c r="EL19" i="66" s="1"/>
  <c r="CH19" i="66"/>
  <c r="CI19" i="66" s="1"/>
  <c r="BL19" i="66"/>
  <c r="BM19" i="66" s="1"/>
  <c r="AP19" i="66"/>
  <c r="AQ19" i="66" s="1"/>
  <c r="T19" i="66"/>
  <c r="U19" i="66" s="1"/>
  <c r="GC18" i="66"/>
  <c r="GD18" i="66" s="1"/>
  <c r="DO18" i="66"/>
  <c r="DP18" i="66" s="1"/>
  <c r="CS18" i="66"/>
  <c r="CT18" i="66" s="1"/>
  <c r="FG41" i="66"/>
  <c r="BL40" i="66"/>
  <c r="FG36" i="66"/>
  <c r="FH36" i="66" s="1"/>
  <c r="CH31" i="66"/>
  <c r="CI31" i="66" s="1"/>
  <c r="T25" i="66"/>
  <c r="U25" i="66" s="1"/>
  <c r="BA19" i="66"/>
  <c r="BB19" i="66" s="1"/>
  <c r="FR12" i="66"/>
  <c r="FS12" i="66" s="1"/>
  <c r="DZ41" i="66"/>
  <c r="CS38" i="66"/>
  <c r="EK34" i="66"/>
  <c r="EL34" i="66" s="1"/>
  <c r="CS22" i="66"/>
  <c r="CT22" i="66" s="1"/>
  <c r="DZ21" i="66"/>
  <c r="EA21" i="66" s="1"/>
  <c r="FR20" i="66"/>
  <c r="FS20" i="66" s="1"/>
  <c r="AE20" i="66"/>
  <c r="AF20" i="66" s="1"/>
  <c r="BW19" i="66"/>
  <c r="BX19" i="66" s="1"/>
  <c r="BW40" i="66"/>
  <c r="GC36" i="66"/>
  <c r="GD36" i="66" s="1"/>
  <c r="FG34" i="66"/>
  <c r="FH34" i="66" s="1"/>
  <c r="BA33" i="66"/>
  <c r="DO32" i="66"/>
  <c r="I27" i="66"/>
  <c r="DZ24" i="66"/>
  <c r="EA24" i="66" s="1"/>
  <c r="DZ23" i="66"/>
  <c r="EA23" i="66" s="1"/>
  <c r="CS19" i="66"/>
  <c r="CT19" i="66" s="1"/>
  <c r="EK36" i="66"/>
  <c r="EL36" i="66" s="1"/>
  <c r="I36" i="66"/>
  <c r="CH33" i="66"/>
  <c r="I19" i="66"/>
  <c r="J19" i="66" s="1"/>
  <c r="CH18" i="66"/>
  <c r="CI18" i="66" s="1"/>
  <c r="FG17" i="66"/>
  <c r="FH17" i="66" s="1"/>
  <c r="DZ17" i="66"/>
  <c r="EA17" i="66" s="1"/>
  <c r="T17" i="66"/>
  <c r="U17" i="66" s="1"/>
  <c r="FR16" i="66"/>
  <c r="FS16" i="66" s="1"/>
  <c r="CH16" i="66"/>
  <c r="CI16" i="66" s="1"/>
  <c r="BA16" i="66"/>
  <c r="BB16" i="66" s="1"/>
  <c r="GC15" i="66"/>
  <c r="GD15" i="66" s="1"/>
  <c r="DZ15" i="66"/>
  <c r="EA15" i="66" s="1"/>
  <c r="BW15" i="66"/>
  <c r="BX15" i="66" s="1"/>
  <c r="GC14" i="66"/>
  <c r="GD14" i="66" s="1"/>
  <c r="DZ14" i="66"/>
  <c r="EA14" i="66" s="1"/>
  <c r="GC13" i="66"/>
  <c r="GD13" i="66" s="1"/>
  <c r="BA13" i="66"/>
  <c r="BB13" i="66" s="1"/>
  <c r="CH12" i="66"/>
  <c r="CI12" i="66" s="1"/>
  <c r="EK11" i="66"/>
  <c r="EL11" i="66" s="1"/>
  <c r="BA11" i="66"/>
  <c r="BB11" i="66" s="1"/>
  <c r="GC9" i="66"/>
  <c r="GD9" i="66" s="1"/>
  <c r="FG9" i="66"/>
  <c r="FH9" i="66" s="1"/>
  <c r="EK9" i="66"/>
  <c r="EL9" i="66" s="1"/>
  <c r="CH9" i="66"/>
  <c r="CI9" i="66" s="1"/>
  <c r="BL9" i="66"/>
  <c r="BM9" i="66" s="1"/>
  <c r="GC8" i="66"/>
  <c r="GD8" i="66" s="1"/>
  <c r="FG8" i="66"/>
  <c r="FH8" i="66" s="1"/>
  <c r="EK8" i="66"/>
  <c r="EL8" i="66" s="1"/>
  <c r="FR36" i="66"/>
  <c r="FS36" i="66" s="1"/>
  <c r="BA18" i="66"/>
  <c r="BB18" i="66" s="1"/>
  <c r="EV17" i="66"/>
  <c r="EW17" i="66" s="1"/>
  <c r="AP17" i="66"/>
  <c r="AQ17" i="66" s="1"/>
  <c r="I17" i="66"/>
  <c r="J17" i="66" s="1"/>
  <c r="EK16" i="66"/>
  <c r="EL16" i="66" s="1"/>
  <c r="BW16" i="66"/>
  <c r="BX16" i="66" s="1"/>
  <c r="T16" i="66"/>
  <c r="U16" i="66" s="1"/>
  <c r="FR15" i="66"/>
  <c r="FS15" i="66" s="1"/>
  <c r="CS15" i="66"/>
  <c r="CT15" i="66" s="1"/>
  <c r="BL15" i="66"/>
  <c r="BM15" i="66" s="1"/>
  <c r="EV14" i="66"/>
  <c r="EW14" i="66" s="1"/>
  <c r="AP14" i="66"/>
  <c r="AQ14" i="66" s="1"/>
  <c r="CS13" i="66"/>
  <c r="CT13" i="66" s="1"/>
  <c r="T13" i="66"/>
  <c r="U13" i="66" s="1"/>
  <c r="FG12" i="66"/>
  <c r="FH12" i="66" s="1"/>
  <c r="BL12" i="66"/>
  <c r="BM12" i="66" s="1"/>
  <c r="DO11" i="66"/>
  <c r="DP11" i="66" s="1"/>
  <c r="DO10" i="66"/>
  <c r="DP10" i="66" s="1"/>
  <c r="AE27" i="66"/>
  <c r="I25" i="66"/>
  <c r="J25" i="66" s="1"/>
  <c r="BA22" i="66"/>
  <c r="BB22" i="66" s="1"/>
  <c r="EV20" i="66"/>
  <c r="EW20" i="66" s="1"/>
  <c r="DD20" i="66"/>
  <c r="DE20" i="66" s="1"/>
  <c r="AE19" i="66"/>
  <c r="AF19" i="66" s="1"/>
  <c r="EV34" i="66"/>
  <c r="EW34" i="66" s="1"/>
  <c r="DZ18" i="66"/>
  <c r="EA18" i="66" s="1"/>
  <c r="AE17" i="66"/>
  <c r="AF17" i="66" s="1"/>
  <c r="GC16" i="66"/>
  <c r="GD16" i="66" s="1"/>
  <c r="I16" i="66"/>
  <c r="J16" i="66" s="1"/>
  <c r="FG15" i="66"/>
  <c r="FH15" i="66" s="1"/>
  <c r="EK14" i="66"/>
  <c r="EL14" i="66" s="1"/>
  <c r="CH13" i="66"/>
  <c r="CI13" i="66" s="1"/>
  <c r="DZ12" i="66"/>
  <c r="EA12" i="66" s="1"/>
  <c r="CS12" i="66"/>
  <c r="CT12" i="66" s="1"/>
  <c r="BW12" i="66"/>
  <c r="BX12" i="66" s="1"/>
  <c r="BA12" i="66"/>
  <c r="BB12" i="66" s="1"/>
  <c r="DZ10" i="66"/>
  <c r="EA10" i="66" s="1"/>
  <c r="DD10" i="66"/>
  <c r="DE10" i="66" s="1"/>
  <c r="EV8" i="66"/>
  <c r="EW8" i="66" s="1"/>
  <c r="CH8" i="66"/>
  <c r="CI8" i="66" s="1"/>
  <c r="AE8" i="66"/>
  <c r="AF8" i="66" s="1"/>
  <c r="I8" i="66"/>
  <c r="J8" i="66" s="1"/>
  <c r="CH7" i="66"/>
  <c r="CI7" i="66" s="1"/>
  <c r="GC6" i="66"/>
  <c r="GD6" i="66" s="1"/>
  <c r="DO41" i="66"/>
  <c r="DZ32" i="66"/>
  <c r="EA32" i="66" s="1"/>
  <c r="BA31" i="66"/>
  <c r="BB31" i="66" s="1"/>
  <c r="FR22" i="66"/>
  <c r="FS22" i="66" s="1"/>
  <c r="FR13" i="66"/>
  <c r="FS13" i="66" s="1"/>
  <c r="EK13" i="66"/>
  <c r="EL13" i="66" s="1"/>
  <c r="DO12" i="66"/>
  <c r="DP12" i="66" s="1"/>
  <c r="BA9" i="66"/>
  <c r="BB9" i="66" s="1"/>
  <c r="EV7" i="66"/>
  <c r="EW7" i="66" s="1"/>
  <c r="BL7" i="66"/>
  <c r="BM7" i="66" s="1"/>
  <c r="AP7" i="66"/>
  <c r="AQ7" i="66" s="1"/>
  <c r="BW22" i="66"/>
  <c r="BX22" i="66" s="1"/>
  <c r="DZ20" i="66"/>
  <c r="EA20" i="66" s="1"/>
  <c r="DD18" i="66"/>
  <c r="DE18" i="66" s="1"/>
  <c r="FG16" i="66"/>
  <c r="FH16" i="66" s="1"/>
  <c r="BW7" i="66"/>
  <c r="BX7" i="66" s="1"/>
  <c r="CH40" i="66"/>
  <c r="CS33" i="66"/>
  <c r="I20" i="66"/>
  <c r="J20" i="66" s="1"/>
  <c r="DO17" i="66"/>
  <c r="DP17" i="66" s="1"/>
  <c r="AP16" i="66"/>
  <c r="AQ16" i="66" s="1"/>
  <c r="FR14" i="66"/>
  <c r="FS14" i="66" s="1"/>
  <c r="DD14" i="66"/>
  <c r="DE14" i="66" s="1"/>
  <c r="T14" i="66"/>
  <c r="U14" i="66" s="1"/>
  <c r="EV12" i="66"/>
  <c r="EW12" i="66" s="1"/>
  <c r="CS11" i="66"/>
  <c r="CT11" i="66" s="1"/>
  <c r="BW11" i="66"/>
  <c r="BX11" i="66" s="1"/>
  <c r="FR8" i="66"/>
  <c r="FS8" i="66" s="1"/>
  <c r="FR7" i="66"/>
  <c r="FS7" i="66" s="1"/>
  <c r="DO7" i="66"/>
  <c r="DP7" i="66" s="1"/>
  <c r="AE7" i="66"/>
  <c r="AF7" i="66" s="1"/>
  <c r="DZ6" i="66"/>
  <c r="EA6" i="66" s="1"/>
  <c r="T11" i="66"/>
  <c r="U11" i="66" s="1"/>
  <c r="BL8" i="66"/>
  <c r="BM8" i="66" s="1"/>
  <c r="FG6" i="66"/>
  <c r="FH6" i="66" s="1"/>
  <c r="CS9" i="66"/>
  <c r="CT9" i="66" s="1"/>
  <c r="GC7" i="66"/>
  <c r="GD7" i="66" s="1"/>
  <c r="DZ7" i="66"/>
  <c r="EA7" i="66" s="1"/>
  <c r="EK6" i="66"/>
  <c r="EL6" i="66" s="1"/>
  <c r="DO15" i="66"/>
  <c r="DP15" i="66" s="1"/>
  <c r="DO14" i="66"/>
  <c r="DP14" i="66" s="1"/>
  <c r="FG13" i="66"/>
  <c r="FH13" i="66" s="1"/>
  <c r="BW8" i="66"/>
  <c r="BX8" i="66" s="1"/>
  <c r="FR6" i="66"/>
  <c r="FS6" i="66" s="1"/>
  <c r="EV23" i="66"/>
  <c r="EW23" i="66" s="1"/>
  <c r="DD21" i="66"/>
  <c r="DE21" i="66" s="1"/>
  <c r="BL21" i="66"/>
  <c r="BM21" i="66" s="1"/>
  <c r="DD17" i="66"/>
  <c r="DE17" i="66" s="1"/>
  <c r="AE16" i="66"/>
  <c r="AF16" i="66" s="1"/>
  <c r="FG14" i="66"/>
  <c r="FH14" i="66" s="1"/>
  <c r="BW13" i="66"/>
  <c r="BX13" i="66" s="1"/>
  <c r="AP13" i="66"/>
  <c r="AQ13" i="66" s="1"/>
  <c r="GC11" i="66"/>
  <c r="GD11" i="66" s="1"/>
  <c r="FG11" i="66"/>
  <c r="FH11" i="66" s="1"/>
  <c r="AP10" i="66"/>
  <c r="AQ10" i="66" s="1"/>
  <c r="T10" i="66"/>
  <c r="U10" i="66" s="1"/>
  <c r="BW9" i="66"/>
  <c r="BX9" i="66" s="1"/>
  <c r="DO8" i="66"/>
  <c r="DP8" i="66" s="1"/>
  <c r="CS8" i="66"/>
  <c r="CT8" i="66" s="1"/>
  <c r="CS7" i="66"/>
  <c r="CT7" i="66" s="1"/>
  <c r="I7" i="66"/>
  <c r="J7" i="66" s="1"/>
  <c r="DD6" i="66"/>
  <c r="DE6" i="66" s="1"/>
  <c r="EK41" i="66"/>
  <c r="DD41" i="66"/>
  <c r="AP36" i="66"/>
  <c r="CS31" i="66"/>
  <c r="CT31" i="66" s="1"/>
  <c r="FR19" i="66"/>
  <c r="FS19" i="66" s="1"/>
  <c r="FR17" i="66"/>
  <c r="FS17" i="66" s="1"/>
  <c r="EK17" i="66"/>
  <c r="EL17" i="66" s="1"/>
  <c r="CS16" i="66"/>
  <c r="CT16" i="66" s="1"/>
  <c r="BL16" i="66"/>
  <c r="BM16" i="66" s="1"/>
  <c r="CH15" i="66"/>
  <c r="CI15" i="66" s="1"/>
  <c r="BA15" i="66"/>
  <c r="BB15" i="66" s="1"/>
  <c r="I14" i="66"/>
  <c r="J14" i="66" s="1"/>
  <c r="EK12" i="66"/>
  <c r="EL12" i="66" s="1"/>
  <c r="BL11" i="66"/>
  <c r="BM11" i="66" s="1"/>
  <c r="AP11" i="66"/>
  <c r="AQ11" i="66" s="1"/>
  <c r="AP8" i="66"/>
  <c r="AQ8" i="66" s="1"/>
  <c r="T8" i="66"/>
  <c r="U8" i="66" s="1"/>
  <c r="EV22" i="66"/>
  <c r="EW22" i="66" s="1"/>
  <c r="BW18" i="66"/>
  <c r="BX18" i="66" s="1"/>
  <c r="I13" i="66"/>
  <c r="J13" i="66" s="1"/>
  <c r="CH11" i="66"/>
  <c r="CI11" i="66" s="1"/>
  <c r="I11" i="66"/>
  <c r="J11" i="66" s="1"/>
  <c r="EV9" i="66"/>
  <c r="EW9" i="66" s="1"/>
  <c r="BA40" i="66"/>
  <c r="BL33" i="66"/>
  <c r="BW31" i="66"/>
  <c r="BX31" i="66" s="1"/>
  <c r="DO30" i="66"/>
  <c r="DP30" i="66" s="1"/>
  <c r="T27" i="66"/>
  <c r="CH21" i="66"/>
  <c r="CI21" i="66" s="1"/>
  <c r="EV19" i="66"/>
  <c r="EW19" i="66" s="1"/>
  <c r="BL18" i="66"/>
  <c r="BM18" i="66" s="1"/>
  <c r="EV16" i="66"/>
  <c r="EW16" i="66" s="1"/>
  <c r="DD15" i="66"/>
  <c r="DE15" i="66" s="1"/>
  <c r="AE14" i="66"/>
  <c r="AF14" i="66" s="1"/>
  <c r="EV13" i="66"/>
  <c r="EW13" i="66" s="1"/>
  <c r="AE13" i="66"/>
  <c r="AF13" i="66" s="1"/>
  <c r="GC12" i="66"/>
  <c r="GD12" i="66" s="1"/>
  <c r="FR11" i="66"/>
  <c r="FS11" i="66" s="1"/>
  <c r="AE11" i="66"/>
  <c r="AF11" i="66" s="1"/>
  <c r="AE10" i="66"/>
  <c r="AF10" i="66" s="1"/>
  <c r="BA7" i="66"/>
  <c r="BB7" i="66" s="1"/>
  <c r="BL13" i="66"/>
  <c r="BM13" i="66" s="1"/>
  <c r="DD8" i="66"/>
  <c r="DE8" i="66" s="1"/>
  <c r="BA8" i="66"/>
  <c r="BB8" i="66" s="1"/>
  <c r="DD7" i="66"/>
  <c r="DE7" i="66" s="1"/>
  <c r="FR23" i="66"/>
  <c r="FS23" i="66" s="1"/>
  <c r="FR9" i="66"/>
  <c r="FS9" i="66" s="1"/>
  <c r="FG7" i="66"/>
  <c r="FH7" i="66" s="1"/>
  <c r="EV6" i="66"/>
  <c r="EW6" i="66" s="1"/>
  <c r="T7" i="66"/>
  <c r="U7" i="66" s="1"/>
  <c r="DZ8" i="66"/>
  <c r="EA8" i="66" s="1"/>
  <c r="DZ11" i="66"/>
  <c r="EA11" i="66" s="1"/>
  <c r="EK7" i="66"/>
  <c r="EL7" i="66" s="1"/>
  <c r="DD12" i="66"/>
  <c r="DE12" i="66" s="1"/>
  <c r="I10" i="66"/>
  <c r="J10" i="66" s="1"/>
  <c r="EV11" i="66"/>
  <c r="EW11" i="66" s="1"/>
  <c r="DO6" i="66"/>
  <c r="DP6" i="66" s="1"/>
  <c r="DD11" i="66"/>
  <c r="DE11" i="66" s="1"/>
  <c r="D10" i="65"/>
  <c r="B24" i="50"/>
  <c r="E24" i="50"/>
  <c r="K84" i="50"/>
  <c r="D3" i="63"/>
  <c r="P3" i="63"/>
  <c r="H12" i="50"/>
  <c r="E42" i="67"/>
  <c r="E63" i="67"/>
  <c r="L9" i="56"/>
  <c r="L5" i="64"/>
  <c r="L5" i="50"/>
  <c r="L9" i="51"/>
  <c r="E38" i="67"/>
  <c r="E42" i="63"/>
  <c r="N226" i="60"/>
  <c r="S3" i="74" l="1"/>
  <c r="I3" i="74"/>
  <c r="I3" i="71"/>
  <c r="S3" i="71"/>
  <c r="B7" i="67"/>
  <c r="B3" i="67"/>
  <c r="F5" i="67" s="1"/>
  <c r="L7" i="67"/>
  <c r="L3" i="67"/>
  <c r="G83" i="50"/>
  <c r="G3" i="67"/>
  <c r="Q3" i="67"/>
  <c r="E15" i="50"/>
  <c r="E3" i="63"/>
  <c r="Q3" i="63"/>
  <c r="E26" i="41"/>
  <c r="E55" i="67"/>
  <c r="B52" i="66"/>
  <c r="E44" i="62"/>
  <c r="L10" i="56"/>
  <c r="E68" i="67"/>
  <c r="E45" i="65"/>
  <c r="L6" i="50"/>
  <c r="L6" i="64"/>
  <c r="L10" i="51"/>
  <c r="B12" i="74" l="1"/>
  <c r="L12" i="74"/>
  <c r="L12" i="71"/>
  <c r="B12" i="71"/>
  <c r="P7" i="67"/>
  <c r="F7" i="67"/>
  <c r="F10" i="65"/>
  <c r="L5" i="67"/>
  <c r="M5" i="67"/>
  <c r="N5" i="67"/>
  <c r="O5" i="67"/>
  <c r="P5" i="67"/>
  <c r="H3" i="67"/>
  <c r="G7" i="67"/>
  <c r="G5" i="67"/>
  <c r="B5" i="67"/>
  <c r="C7" i="67"/>
  <c r="M7" i="67"/>
  <c r="C5" i="67"/>
  <c r="N7" i="67"/>
  <c r="D7" i="67"/>
  <c r="D5" i="67"/>
  <c r="O7" i="67"/>
  <c r="E7" i="67"/>
  <c r="E5" i="67"/>
  <c r="R3" i="67"/>
  <c r="Q7" i="67"/>
  <c r="Q5" i="67"/>
  <c r="EG41" i="66"/>
  <c r="CD40" i="66"/>
  <c r="DV41" i="66"/>
  <c r="BS40" i="66"/>
  <c r="CO38" i="66"/>
  <c r="CZ41" i="66"/>
  <c r="AW40" i="66"/>
  <c r="AL36" i="66"/>
  <c r="ER41" i="66"/>
  <c r="DK41" i="66"/>
  <c r="E36" i="66"/>
  <c r="BH40" i="66"/>
  <c r="FC41" i="66"/>
  <c r="FY41" i="66"/>
  <c r="AA36" i="66"/>
  <c r="P36" i="66"/>
  <c r="FN41" i="66"/>
  <c r="F3" i="63"/>
  <c r="R3" i="63"/>
  <c r="B25" i="62"/>
  <c r="C17" i="62"/>
  <c r="J24" i="1"/>
  <c r="J13" i="1"/>
  <c r="B18" i="5"/>
  <c r="E12" i="41"/>
  <c r="F10" i="41"/>
  <c r="F9" i="41"/>
  <c r="F10" i="54"/>
  <c r="F9" i="54"/>
  <c r="E22" i="54"/>
  <c r="E23" i="54"/>
  <c r="E26" i="54"/>
  <c r="B26" i="54"/>
  <c r="B23" i="54"/>
  <c r="B22" i="54"/>
  <c r="C15" i="54"/>
  <c r="B62" i="54"/>
  <c r="B26" i="41"/>
  <c r="B23" i="41"/>
  <c r="B22" i="41"/>
  <c r="E57" i="71"/>
  <c r="E43" i="62"/>
  <c r="L11" i="56"/>
  <c r="O225" i="60"/>
  <c r="B33" i="67"/>
  <c r="B120" i="64"/>
  <c r="E44" i="71"/>
  <c r="B37" i="67"/>
  <c r="E48" i="71"/>
  <c r="E47" i="71"/>
  <c r="B54" i="61"/>
  <c r="L11" i="51"/>
  <c r="E50" i="71"/>
  <c r="B54" i="43"/>
  <c r="B116" i="64"/>
  <c r="E46" i="71"/>
  <c r="L7" i="50"/>
  <c r="L7" i="64"/>
  <c r="M12" i="74" l="1"/>
  <c r="C12" i="74"/>
  <c r="C12" i="71"/>
  <c r="M12" i="71"/>
  <c r="R7" i="67"/>
  <c r="R5" i="67"/>
  <c r="S3" i="67"/>
  <c r="H7" i="67"/>
  <c r="H5" i="67"/>
  <c r="I3" i="67"/>
  <c r="H29" i="62"/>
  <c r="G3" i="63"/>
  <c r="S3" i="63"/>
  <c r="D10" i="62"/>
  <c r="EA37" i="61"/>
  <c r="DP37" i="61"/>
  <c r="DE37" i="61"/>
  <c r="CT34" i="61"/>
  <c r="CI34" i="61"/>
  <c r="BX34" i="61"/>
  <c r="BM34" i="61"/>
  <c r="BB34" i="61"/>
  <c r="AQ32" i="61"/>
  <c r="AF32" i="61"/>
  <c r="U32" i="61"/>
  <c r="J32" i="61"/>
  <c r="DZ30" i="61"/>
  <c r="DX30" i="61"/>
  <c r="DY30" i="61" s="1"/>
  <c r="DZ29" i="61"/>
  <c r="DX29" i="61"/>
  <c r="DY29" i="61" s="1"/>
  <c r="DO29" i="61"/>
  <c r="DM29" i="61"/>
  <c r="DN29" i="61" s="1"/>
  <c r="DO28" i="61"/>
  <c r="DM28" i="61"/>
  <c r="DN28" i="61" s="1"/>
  <c r="DD28" i="61"/>
  <c r="DB28" i="61"/>
  <c r="DC28" i="61" s="1"/>
  <c r="CS28" i="61"/>
  <c r="CQ28" i="61"/>
  <c r="CR28" i="61" s="1"/>
  <c r="CH28" i="61"/>
  <c r="CF28" i="61"/>
  <c r="CG28" i="61" s="1"/>
  <c r="BW28" i="61"/>
  <c r="BU28" i="61"/>
  <c r="BV28" i="61" s="1"/>
  <c r="BL28" i="61"/>
  <c r="BJ28" i="61"/>
  <c r="BK28" i="61" s="1"/>
  <c r="BA28" i="61"/>
  <c r="AY28" i="61"/>
  <c r="AZ28" i="61" s="1"/>
  <c r="DD27" i="61"/>
  <c r="DB27" i="61"/>
  <c r="DC27" i="61" s="1"/>
  <c r="CS27" i="61"/>
  <c r="CQ27" i="61"/>
  <c r="CR27" i="61" s="1"/>
  <c r="CH27" i="61"/>
  <c r="CF27" i="61"/>
  <c r="CG27" i="61" s="1"/>
  <c r="BW27" i="61"/>
  <c r="BU27" i="61"/>
  <c r="BV27" i="61" s="1"/>
  <c r="BL27" i="61"/>
  <c r="BJ27" i="61"/>
  <c r="BK27" i="61" s="1"/>
  <c r="BA27" i="61"/>
  <c r="AY27" i="61"/>
  <c r="AZ27" i="61" s="1"/>
  <c r="DX25" i="61"/>
  <c r="DY25" i="61" s="1"/>
  <c r="CQ25" i="61"/>
  <c r="CR25" i="61" s="1"/>
  <c r="CH25" i="61"/>
  <c r="CF25" i="61"/>
  <c r="CG25" i="61" s="1"/>
  <c r="BW25" i="61"/>
  <c r="BU25" i="61"/>
  <c r="BV25" i="61" s="1"/>
  <c r="BL25" i="61"/>
  <c r="BJ25" i="61"/>
  <c r="BK25" i="61" s="1"/>
  <c r="BA25" i="61"/>
  <c r="AY25" i="61"/>
  <c r="AZ25" i="61" s="1"/>
  <c r="DX24" i="61"/>
  <c r="DY24" i="61" s="1"/>
  <c r="DM24" i="61"/>
  <c r="DN24" i="61" s="1"/>
  <c r="CQ24" i="61"/>
  <c r="CR24" i="61" s="1"/>
  <c r="CH24" i="61"/>
  <c r="CF24" i="61"/>
  <c r="CG24" i="61" s="1"/>
  <c r="BW24" i="61"/>
  <c r="BU24" i="61"/>
  <c r="BV24" i="61" s="1"/>
  <c r="BL24" i="61"/>
  <c r="BJ24" i="61"/>
  <c r="BK24" i="61" s="1"/>
  <c r="BA24" i="61"/>
  <c r="AY24" i="61"/>
  <c r="AZ24" i="61" s="1"/>
  <c r="DM23" i="61"/>
  <c r="DN23" i="61" s="1"/>
  <c r="DB23" i="61"/>
  <c r="DC23" i="61" s="1"/>
  <c r="AP23" i="61"/>
  <c r="AN23" i="61"/>
  <c r="AO23" i="61" s="1"/>
  <c r="AE23" i="61"/>
  <c r="AC23" i="61"/>
  <c r="AD23" i="61" s="1"/>
  <c r="T23" i="61"/>
  <c r="R23" i="61"/>
  <c r="S23" i="61" s="1"/>
  <c r="I23" i="61"/>
  <c r="G23" i="61"/>
  <c r="H23" i="61" s="1"/>
  <c r="DX22" i="61"/>
  <c r="DY22" i="61" s="1"/>
  <c r="DB22" i="61"/>
  <c r="DC22" i="61" s="1"/>
  <c r="CQ22" i="61"/>
  <c r="CR22" i="61" s="1"/>
  <c r="CF22" i="61"/>
  <c r="CG22" i="61" s="1"/>
  <c r="BU22" i="61"/>
  <c r="BV22" i="61" s="1"/>
  <c r="BJ22" i="61"/>
  <c r="BK22" i="61" s="1"/>
  <c r="AY22" i="61"/>
  <c r="AZ22" i="61" s="1"/>
  <c r="AP22" i="61"/>
  <c r="AN22" i="61"/>
  <c r="AO22" i="61" s="1"/>
  <c r="AE22" i="61"/>
  <c r="AC22" i="61"/>
  <c r="AD22" i="61" s="1"/>
  <c r="T22" i="61"/>
  <c r="R22" i="61"/>
  <c r="S22" i="61" s="1"/>
  <c r="I22" i="61"/>
  <c r="G22" i="61"/>
  <c r="H22" i="61" s="1"/>
  <c r="DX21" i="61"/>
  <c r="DY21" i="61" s="1"/>
  <c r="DM21" i="61"/>
  <c r="DN21" i="61" s="1"/>
  <c r="CQ21" i="61"/>
  <c r="CR21" i="61" s="1"/>
  <c r="CF21" i="61"/>
  <c r="CG21" i="61" s="1"/>
  <c r="BU21" i="61"/>
  <c r="BV21" i="61" s="1"/>
  <c r="BJ21" i="61"/>
  <c r="BK21" i="61" s="1"/>
  <c r="AY21" i="61"/>
  <c r="AZ21" i="61" s="1"/>
  <c r="DM20" i="61"/>
  <c r="DN20" i="61" s="1"/>
  <c r="DB20" i="61"/>
  <c r="DC20" i="61" s="1"/>
  <c r="AN20" i="61"/>
  <c r="AO20" i="61" s="1"/>
  <c r="AC20" i="61"/>
  <c r="AD20" i="61" s="1"/>
  <c r="R20" i="61"/>
  <c r="S20" i="61" s="1"/>
  <c r="G20" i="61"/>
  <c r="H20" i="61" s="1"/>
  <c r="DX19" i="61"/>
  <c r="DY19" i="61" s="1"/>
  <c r="DB19" i="61"/>
  <c r="DC19" i="61" s="1"/>
  <c r="CQ19" i="61"/>
  <c r="CR19" i="61" s="1"/>
  <c r="CF19" i="61"/>
  <c r="CG19" i="61" s="1"/>
  <c r="BU19" i="61"/>
  <c r="BV19" i="61" s="1"/>
  <c r="BJ19" i="61"/>
  <c r="BK19" i="61" s="1"/>
  <c r="AY19" i="61"/>
  <c r="AZ19" i="61" s="1"/>
  <c r="AN19" i="61"/>
  <c r="AO19" i="61" s="1"/>
  <c r="AC19" i="61"/>
  <c r="AD19" i="61" s="1"/>
  <c r="R19" i="61"/>
  <c r="S19" i="61" s="1"/>
  <c r="G19" i="61"/>
  <c r="H19" i="61" s="1"/>
  <c r="DX18" i="61"/>
  <c r="DY18" i="61" s="1"/>
  <c r="DM18" i="61"/>
  <c r="DN18" i="61" s="1"/>
  <c r="CQ18" i="61"/>
  <c r="CR18" i="61" s="1"/>
  <c r="CF18" i="61"/>
  <c r="CG18" i="61" s="1"/>
  <c r="BU18" i="61"/>
  <c r="BV18" i="61" s="1"/>
  <c r="BJ18" i="61"/>
  <c r="BK18" i="61" s="1"/>
  <c r="AY18" i="61"/>
  <c r="AZ18" i="61" s="1"/>
  <c r="DM17" i="61"/>
  <c r="DN17" i="61" s="1"/>
  <c r="DB17" i="61"/>
  <c r="DC17" i="61" s="1"/>
  <c r="AN17" i="61"/>
  <c r="AO17" i="61" s="1"/>
  <c r="AC17" i="61"/>
  <c r="AD17" i="61" s="1"/>
  <c r="R17" i="61"/>
  <c r="S17" i="61" s="1"/>
  <c r="G17" i="61"/>
  <c r="H17" i="61" s="1"/>
  <c r="DX16" i="61"/>
  <c r="DY16" i="61" s="1"/>
  <c r="DB16" i="61"/>
  <c r="DC16" i="61" s="1"/>
  <c r="CQ16" i="61"/>
  <c r="CR16" i="61" s="1"/>
  <c r="CF16" i="61"/>
  <c r="CG16" i="61" s="1"/>
  <c r="BU16" i="61"/>
  <c r="BV16" i="61" s="1"/>
  <c r="BJ16" i="61"/>
  <c r="BK16" i="61" s="1"/>
  <c r="AY16" i="61"/>
  <c r="AZ16" i="61" s="1"/>
  <c r="AN16" i="61"/>
  <c r="AO16" i="61" s="1"/>
  <c r="AC16" i="61"/>
  <c r="AD16" i="61" s="1"/>
  <c r="R16" i="61"/>
  <c r="S16" i="61" s="1"/>
  <c r="G16" i="61"/>
  <c r="H16" i="61" s="1"/>
  <c r="DX15" i="61"/>
  <c r="DY15" i="61" s="1"/>
  <c r="DM15" i="61"/>
  <c r="DN15" i="61" s="1"/>
  <c r="CQ15" i="61"/>
  <c r="CR15" i="61" s="1"/>
  <c r="CF15" i="61"/>
  <c r="CG15" i="61" s="1"/>
  <c r="BU15" i="61"/>
  <c r="BV15" i="61" s="1"/>
  <c r="BJ15" i="61"/>
  <c r="BK15" i="61" s="1"/>
  <c r="AY15" i="61"/>
  <c r="AZ15" i="61" s="1"/>
  <c r="DX14" i="61"/>
  <c r="DY14" i="61" s="1"/>
  <c r="DM14" i="61"/>
  <c r="DN14" i="61" s="1"/>
  <c r="DB14" i="61"/>
  <c r="DC14" i="61" s="1"/>
  <c r="AN14" i="61"/>
  <c r="AO14" i="61" s="1"/>
  <c r="AC14" i="61"/>
  <c r="AD14" i="61" s="1"/>
  <c r="R14" i="61"/>
  <c r="S14" i="61" s="1"/>
  <c r="G14" i="61"/>
  <c r="H14" i="61" s="1"/>
  <c r="DX13" i="61"/>
  <c r="DY13" i="61" s="1"/>
  <c r="DM13" i="61"/>
  <c r="DN13" i="61" s="1"/>
  <c r="DB13" i="61"/>
  <c r="DC13" i="61" s="1"/>
  <c r="CN13" i="61"/>
  <c r="CQ13" i="61" s="1"/>
  <c r="CR13" i="61" s="1"/>
  <c r="CF13" i="61"/>
  <c r="CG13" i="61" s="1"/>
  <c r="BU13" i="61"/>
  <c r="BV13" i="61" s="1"/>
  <c r="BJ13" i="61"/>
  <c r="BK13" i="61" s="1"/>
  <c r="AY13" i="61"/>
  <c r="AZ13" i="61" s="1"/>
  <c r="AN13" i="61"/>
  <c r="AO13" i="61" s="1"/>
  <c r="AC13" i="61"/>
  <c r="AD13" i="61" s="1"/>
  <c r="R13" i="61"/>
  <c r="S13" i="61" s="1"/>
  <c r="G13" i="61"/>
  <c r="H13" i="61" s="1"/>
  <c r="DU12" i="61"/>
  <c r="DX12" i="61" s="1"/>
  <c r="DY12" i="61" s="1"/>
  <c r="DJ12" i="61"/>
  <c r="DM12" i="61" s="1"/>
  <c r="DN12" i="61" s="1"/>
  <c r="CY12" i="61"/>
  <c r="DB12" i="61" s="1"/>
  <c r="DC12" i="61" s="1"/>
  <c r="CN12" i="61"/>
  <c r="CQ12" i="61" s="1"/>
  <c r="CR12" i="61" s="1"/>
  <c r="CC12" i="61"/>
  <c r="CF12" i="61" s="1"/>
  <c r="CG12" i="61" s="1"/>
  <c r="BR12" i="61"/>
  <c r="BU12" i="61" s="1"/>
  <c r="BV12" i="61" s="1"/>
  <c r="BG12" i="61"/>
  <c r="BJ12" i="61" s="1"/>
  <c r="BK12" i="61" s="1"/>
  <c r="AV12" i="61"/>
  <c r="AY12" i="61" s="1"/>
  <c r="AZ12" i="61" s="1"/>
  <c r="AN11" i="61"/>
  <c r="AO11" i="61" s="1"/>
  <c r="AC11" i="61"/>
  <c r="AD11" i="61" s="1"/>
  <c r="R11" i="61"/>
  <c r="S11" i="61" s="1"/>
  <c r="G11" i="61"/>
  <c r="H11" i="61" s="1"/>
  <c r="DX9" i="61"/>
  <c r="DY9" i="61" s="1"/>
  <c r="DM9" i="61"/>
  <c r="DN9" i="61" s="1"/>
  <c r="DB9" i="61"/>
  <c r="DC9" i="61" s="1"/>
  <c r="CQ9" i="61"/>
  <c r="CR9" i="61" s="1"/>
  <c r="CF9" i="61"/>
  <c r="CG9" i="61" s="1"/>
  <c r="BU9" i="61"/>
  <c r="BV9" i="61" s="1"/>
  <c r="BJ9" i="61"/>
  <c r="BK9" i="61" s="1"/>
  <c r="AY9" i="61"/>
  <c r="AZ9" i="61" s="1"/>
  <c r="DX8" i="61"/>
  <c r="DY8" i="61" s="1"/>
  <c r="DM8" i="61"/>
  <c r="DN8" i="61" s="1"/>
  <c r="DB8" i="61"/>
  <c r="DC8" i="61" s="1"/>
  <c r="CN8" i="61"/>
  <c r="CQ8" i="61" s="1"/>
  <c r="CR8" i="61" s="1"/>
  <c r="CC8" i="61"/>
  <c r="CF8" i="61" s="1"/>
  <c r="CG8" i="61" s="1"/>
  <c r="BR8" i="61"/>
  <c r="BU8" i="61" s="1"/>
  <c r="BV8" i="61" s="1"/>
  <c r="BG8" i="61"/>
  <c r="BJ8" i="61" s="1"/>
  <c r="BK8" i="61" s="1"/>
  <c r="AV8" i="61"/>
  <c r="AY8" i="61" s="1"/>
  <c r="AZ8" i="61" s="1"/>
  <c r="AN8" i="61"/>
  <c r="AO8" i="61" s="1"/>
  <c r="AC8" i="61"/>
  <c r="AD8" i="61" s="1"/>
  <c r="R8" i="61"/>
  <c r="S8" i="61" s="1"/>
  <c r="G8" i="61"/>
  <c r="H8" i="61" s="1"/>
  <c r="DU7" i="61"/>
  <c r="DX7" i="61" s="1"/>
  <c r="DY7" i="61" s="1"/>
  <c r="DJ7" i="61"/>
  <c r="DM7" i="61" s="1"/>
  <c r="DN7" i="61" s="1"/>
  <c r="CY7" i="61"/>
  <c r="DB7" i="61" s="1"/>
  <c r="DC7" i="61" s="1"/>
  <c r="B62" i="41"/>
  <c r="E23" i="41"/>
  <c r="E22" i="41"/>
  <c r="E36" i="49"/>
  <c r="B47" i="48"/>
  <c r="C225" i="60"/>
  <c r="L12" i="56"/>
  <c r="L8" i="50"/>
  <c r="E44" i="47"/>
  <c r="E32" i="44"/>
  <c r="B51" i="61"/>
  <c r="E37" i="49"/>
  <c r="E43" i="49"/>
  <c r="B47" i="61"/>
  <c r="E44" i="42"/>
  <c r="E32" i="49"/>
  <c r="E45" i="49"/>
  <c r="B51" i="43"/>
  <c r="E39" i="49"/>
  <c r="E61" i="49"/>
  <c r="E54" i="49"/>
  <c r="B54" i="48"/>
  <c r="E64" i="49"/>
  <c r="B47" i="43"/>
  <c r="L12" i="51"/>
  <c r="L8" i="64"/>
  <c r="DE27" i="61" l="1"/>
  <c r="CI28" i="61"/>
  <c r="BM24" i="61"/>
  <c r="U23" i="61"/>
  <c r="BB24" i="61"/>
  <c r="U22" i="61"/>
  <c r="CI25" i="61"/>
  <c r="AF22" i="61"/>
  <c r="BB25" i="61"/>
  <c r="CI27" i="61"/>
  <c r="BM28" i="61"/>
  <c r="DE28" i="61"/>
  <c r="EA30" i="61"/>
  <c r="BX24" i="61"/>
  <c r="BM25" i="61"/>
  <c r="CT27" i="61"/>
  <c r="BX28" i="61"/>
  <c r="J23" i="61"/>
  <c r="CI24" i="61"/>
  <c r="BB28" i="61"/>
  <c r="J22" i="61"/>
  <c r="BX27" i="61"/>
  <c r="CT28" i="61"/>
  <c r="EA29" i="61"/>
  <c r="BB27" i="61"/>
  <c r="BX25" i="61"/>
  <c r="BM27" i="61"/>
  <c r="AQ22" i="61"/>
  <c r="AF23" i="61"/>
  <c r="DP28" i="61"/>
  <c r="AQ23" i="61"/>
  <c r="DP29" i="61"/>
  <c r="D12" i="74"/>
  <c r="N12" i="74"/>
  <c r="N12" i="71"/>
  <c r="D12" i="71"/>
  <c r="I7" i="67"/>
  <c r="I5" i="67"/>
  <c r="B12" i="67"/>
  <c r="S7" i="67"/>
  <c r="S5" i="67"/>
  <c r="L12" i="67"/>
  <c r="H3" i="63"/>
  <c r="L12" i="63"/>
  <c r="DU11" i="61"/>
  <c r="DX11" i="61" s="1"/>
  <c r="DY11" i="61" s="1"/>
  <c r="AK10" i="61"/>
  <c r="AN10" i="61" s="1"/>
  <c r="AO10" i="61" s="1"/>
  <c r="CN7" i="61"/>
  <c r="CQ7" i="61" s="1"/>
  <c r="CR7" i="61" s="1"/>
  <c r="AV11" i="61"/>
  <c r="AY11" i="61" s="1"/>
  <c r="AZ11" i="61" s="1"/>
  <c r="CC11" i="61"/>
  <c r="CF11" i="61" s="1"/>
  <c r="CG11" i="61" s="1"/>
  <c r="AK7" i="61"/>
  <c r="AN7" i="61" s="1"/>
  <c r="AO7" i="61" s="1"/>
  <c r="O10" i="61"/>
  <c r="R10" i="61" s="1"/>
  <c r="S10" i="61" s="1"/>
  <c r="DJ6" i="61"/>
  <c r="DM6" i="61" s="1"/>
  <c r="DN6" i="61" s="1"/>
  <c r="BR7" i="61"/>
  <c r="BU7" i="61" s="1"/>
  <c r="BV7" i="61" s="1"/>
  <c r="AV7" i="61"/>
  <c r="AY7" i="61" s="1"/>
  <c r="AZ7" i="61" s="1"/>
  <c r="O7" i="61"/>
  <c r="R7" i="61" s="1"/>
  <c r="S7" i="61" s="1"/>
  <c r="CY11" i="61"/>
  <c r="DB11" i="61" s="1"/>
  <c r="DC11" i="61" s="1"/>
  <c r="CC7" i="61"/>
  <c r="CF7" i="61" s="1"/>
  <c r="CG7" i="61" s="1"/>
  <c r="DU6" i="61"/>
  <c r="DX6" i="61" s="1"/>
  <c r="DY6" i="61" s="1"/>
  <c r="Z10" i="61"/>
  <c r="AC10" i="61" s="1"/>
  <c r="AD10" i="61" s="1"/>
  <c r="BG7" i="61"/>
  <c r="BJ7" i="61" s="1"/>
  <c r="BK7" i="61" s="1"/>
  <c r="DJ11" i="61"/>
  <c r="DM11" i="61" s="1"/>
  <c r="DN11" i="61" s="1"/>
  <c r="BG11" i="61"/>
  <c r="BJ11" i="61" s="1"/>
  <c r="BK11" i="61" s="1"/>
  <c r="D10" i="61"/>
  <c r="G10" i="61" s="1"/>
  <c r="H10" i="61" s="1"/>
  <c r="CY6" i="61"/>
  <c r="DB6" i="61" s="1"/>
  <c r="DC6" i="61" s="1"/>
  <c r="D7" i="61"/>
  <c r="G7" i="61" s="1"/>
  <c r="H7" i="61" s="1"/>
  <c r="CN11" i="61"/>
  <c r="CQ11" i="61" s="1"/>
  <c r="CR11" i="61" s="1"/>
  <c r="Z7" i="61"/>
  <c r="AC7" i="61" s="1"/>
  <c r="AD7" i="61" s="1"/>
  <c r="BR11" i="61"/>
  <c r="BU11" i="61" s="1"/>
  <c r="BV11" i="61" s="1"/>
  <c r="AV38" i="61"/>
  <c r="CN38" i="61"/>
  <c r="AK36" i="61"/>
  <c r="O36" i="61"/>
  <c r="DU41" i="61"/>
  <c r="D36" i="61"/>
  <c r="BR38" i="61"/>
  <c r="CY41" i="61"/>
  <c r="BG38" i="61"/>
  <c r="CC38" i="61"/>
  <c r="DJ41" i="61"/>
  <c r="Z36" i="61"/>
  <c r="B25" i="47"/>
  <c r="C17" i="47"/>
  <c r="C3" i="49"/>
  <c r="M3" i="49"/>
  <c r="B25" i="42"/>
  <c r="C17" i="42"/>
  <c r="DU41" i="43"/>
  <c r="DJ41" i="43"/>
  <c r="CY41" i="43"/>
  <c r="CN38" i="43"/>
  <c r="CC38" i="43"/>
  <c r="BR38" i="43"/>
  <c r="BG38" i="43"/>
  <c r="AV38" i="43"/>
  <c r="AK36" i="43"/>
  <c r="Z36" i="43"/>
  <c r="O36" i="43"/>
  <c r="D36" i="43"/>
  <c r="C15" i="41"/>
  <c r="E63" i="44"/>
  <c r="B33" i="71"/>
  <c r="L13" i="51"/>
  <c r="B120" i="41"/>
  <c r="B37" i="71"/>
  <c r="L4" i="54"/>
  <c r="B50" i="43"/>
  <c r="B37" i="44"/>
  <c r="E63" i="49"/>
  <c r="B116" i="54"/>
  <c r="B120" i="50"/>
  <c r="B120" i="54"/>
  <c r="L9" i="64"/>
  <c r="B116" i="51"/>
  <c r="B33" i="44"/>
  <c r="B116" i="41"/>
  <c r="L9" i="50"/>
  <c r="B120" i="51"/>
  <c r="L13" i="56"/>
  <c r="E64" i="44"/>
  <c r="B33" i="63"/>
  <c r="B50" i="61"/>
  <c r="B37" i="63"/>
  <c r="B116" i="50"/>
  <c r="E12" i="74" l="1"/>
  <c r="O12" i="74"/>
  <c r="O12" i="71"/>
  <c r="E12" i="71"/>
  <c r="L14" i="67"/>
  <c r="M12" i="67"/>
  <c r="L16" i="67"/>
  <c r="B16" i="67"/>
  <c r="B14" i="67"/>
  <c r="C12" i="67"/>
  <c r="I3" i="63"/>
  <c r="M12" i="63"/>
  <c r="D3" i="49"/>
  <c r="CX41" i="61"/>
  <c r="BF38" i="61"/>
  <c r="C36" i="61"/>
  <c r="AU38" i="61"/>
  <c r="Y36" i="61"/>
  <c r="CM38" i="61"/>
  <c r="DT41" i="61"/>
  <c r="BQ38" i="61"/>
  <c r="AJ36" i="61"/>
  <c r="CB38" i="61"/>
  <c r="DI41" i="61"/>
  <c r="N36" i="61"/>
  <c r="DT41" i="43"/>
  <c r="CX41" i="43"/>
  <c r="CB38" i="43"/>
  <c r="BF38" i="43"/>
  <c r="AJ36" i="43"/>
  <c r="N36" i="43"/>
  <c r="AU38" i="43"/>
  <c r="DI41" i="43"/>
  <c r="BQ38" i="43"/>
  <c r="CM38" i="43"/>
  <c r="C36" i="43"/>
  <c r="Y36" i="43"/>
  <c r="N3" i="49"/>
  <c r="B66" i="36"/>
  <c r="B58" i="36"/>
  <c r="B60" i="36" s="1"/>
  <c r="R54" i="36"/>
  <c r="I53" i="36"/>
  <c r="H53" i="36"/>
  <c r="G53" i="36"/>
  <c r="F53" i="36"/>
  <c r="E53" i="36"/>
  <c r="D53" i="36"/>
  <c r="C53" i="36"/>
  <c r="B53" i="36"/>
  <c r="Q45" i="36"/>
  <c r="O45" i="36"/>
  <c r="P45" i="36" s="1"/>
  <c r="I43" i="36"/>
  <c r="H43" i="36"/>
  <c r="G43" i="36"/>
  <c r="F43" i="36"/>
  <c r="E43" i="36"/>
  <c r="D43" i="36"/>
  <c r="C43" i="36"/>
  <c r="B43" i="36"/>
  <c r="S42" i="36"/>
  <c r="I31" i="36"/>
  <c r="H31" i="36"/>
  <c r="G31" i="36"/>
  <c r="F31" i="36"/>
  <c r="E31" i="36"/>
  <c r="D31" i="36"/>
  <c r="C31" i="36"/>
  <c r="B31" i="36"/>
  <c r="A31" i="36"/>
  <c r="A43" i="36" s="1"/>
  <c r="A53" i="36" s="1"/>
  <c r="P25" i="36"/>
  <c r="Q25" i="36" s="1"/>
  <c r="P24" i="36"/>
  <c r="Q24" i="36" s="1"/>
  <c r="R23" i="36"/>
  <c r="R24" i="36" s="1"/>
  <c r="R25" i="36" s="1"/>
  <c r="P23" i="36"/>
  <c r="Q23" i="36" s="1"/>
  <c r="C23" i="36"/>
  <c r="D23" i="36" s="1"/>
  <c r="E23" i="36" s="1"/>
  <c r="B21" i="36"/>
  <c r="B22" i="36" s="1"/>
  <c r="D19" i="36"/>
  <c r="A19" i="36"/>
  <c r="E18" i="36"/>
  <c r="P16" i="36"/>
  <c r="Q16" i="36" s="1"/>
  <c r="P15" i="36"/>
  <c r="Q15" i="36" s="1"/>
  <c r="P14" i="36"/>
  <c r="Q14" i="36" s="1"/>
  <c r="C13" i="36"/>
  <c r="A13" i="36"/>
  <c r="B6" i="36"/>
  <c r="P5" i="36"/>
  <c r="Q5" i="36" s="1"/>
  <c r="B4" i="36"/>
  <c r="D19" i="56"/>
  <c r="C15" i="56"/>
  <c r="F15" i="56" s="1"/>
  <c r="B15" i="56"/>
  <c r="E12" i="56"/>
  <c r="E15" i="56" s="1"/>
  <c r="H13" i="56"/>
  <c r="H14" i="56" s="1"/>
  <c r="I80" i="56"/>
  <c r="B6" i="56"/>
  <c r="B5" i="56"/>
  <c r="B4" i="56"/>
  <c r="I80" i="51"/>
  <c r="F20" i="51"/>
  <c r="D20" i="51"/>
  <c r="F19" i="51"/>
  <c r="D19" i="51"/>
  <c r="C15" i="51"/>
  <c r="B15" i="51"/>
  <c r="D14" i="51"/>
  <c r="E12" i="51"/>
  <c r="H13" i="51"/>
  <c r="H14" i="51" s="1"/>
  <c r="B6" i="51"/>
  <c r="B5" i="51"/>
  <c r="B4" i="51"/>
  <c r="B45" i="25"/>
  <c r="B46" i="25" s="1"/>
  <c r="B44" i="25"/>
  <c r="B37" i="25"/>
  <c r="B38" i="25" s="1"/>
  <c r="B40" i="25" s="1"/>
  <c r="D26" i="25"/>
  <c r="D27" i="25" s="1"/>
  <c r="B42" i="25" s="1"/>
  <c r="D15" i="25"/>
  <c r="B12" i="25"/>
  <c r="D12" i="25" s="1"/>
  <c r="B11" i="25"/>
  <c r="B10" i="25"/>
  <c r="B4" i="25"/>
  <c r="B3" i="25"/>
  <c r="B2" i="25"/>
  <c r="B45" i="24"/>
  <c r="B46" i="24" s="1"/>
  <c r="B44" i="24"/>
  <c r="B37" i="24"/>
  <c r="B38" i="24" s="1"/>
  <c r="B40" i="24" s="1"/>
  <c r="D26" i="24"/>
  <c r="D27" i="24" s="1"/>
  <c r="B42" i="24" s="1"/>
  <c r="D15" i="24"/>
  <c r="B12" i="24"/>
  <c r="D12" i="24" s="1"/>
  <c r="B11" i="24"/>
  <c r="B10" i="24"/>
  <c r="B4" i="24"/>
  <c r="B3" i="24"/>
  <c r="B2" i="24"/>
  <c r="B45" i="23"/>
  <c r="B46" i="23" s="1"/>
  <c r="B44" i="23"/>
  <c r="B37" i="23"/>
  <c r="B38" i="23" s="1"/>
  <c r="B40" i="23" s="1"/>
  <c r="D26" i="23"/>
  <c r="D27" i="23" s="1"/>
  <c r="B42" i="23" s="1"/>
  <c r="D15" i="23"/>
  <c r="B12" i="23"/>
  <c r="D12" i="23" s="1"/>
  <c r="B11" i="23"/>
  <c r="B10" i="23"/>
  <c r="B4" i="23"/>
  <c r="B3" i="23"/>
  <c r="B2" i="23"/>
  <c r="B47" i="22"/>
  <c r="B48" i="22" s="1"/>
  <c r="B46" i="22"/>
  <c r="B39" i="22"/>
  <c r="B40" i="22" s="1"/>
  <c r="D28" i="22"/>
  <c r="D29" i="22" s="1"/>
  <c r="B44" i="22" s="1"/>
  <c r="D17" i="22"/>
  <c r="B14" i="22"/>
  <c r="D14" i="22" s="1"/>
  <c r="B6" i="22"/>
  <c r="B5" i="22"/>
  <c r="B4" i="22"/>
  <c r="GD39" i="48"/>
  <c r="FS39" i="48"/>
  <c r="FH39" i="48"/>
  <c r="EW39" i="48"/>
  <c r="EL39" i="48"/>
  <c r="EA37" i="48"/>
  <c r="DP37" i="48"/>
  <c r="DE37" i="48"/>
  <c r="BX37" i="48"/>
  <c r="FX36" i="48"/>
  <c r="GA36" i="48" s="1"/>
  <c r="GB36" i="48" s="1"/>
  <c r="FM36" i="48"/>
  <c r="FP36" i="48" s="1"/>
  <c r="FQ36" i="48" s="1"/>
  <c r="FB36" i="48"/>
  <c r="FE36" i="48" s="1"/>
  <c r="FF36" i="48" s="1"/>
  <c r="EQ36" i="48"/>
  <c r="ET36" i="48" s="1"/>
  <c r="EU36" i="48" s="1"/>
  <c r="EF36" i="48"/>
  <c r="EI36" i="48" s="1"/>
  <c r="EJ36" i="48" s="1"/>
  <c r="CT36" i="48"/>
  <c r="CI36" i="48"/>
  <c r="BM36" i="48"/>
  <c r="BB36" i="48"/>
  <c r="FX34" i="48"/>
  <c r="GA34" i="48" s="1"/>
  <c r="GB34" i="48" s="1"/>
  <c r="FM34" i="48"/>
  <c r="FP34" i="48" s="1"/>
  <c r="FQ34" i="48" s="1"/>
  <c r="FB34" i="48"/>
  <c r="FE34" i="48" s="1"/>
  <c r="FF34" i="48" s="1"/>
  <c r="EQ34" i="48"/>
  <c r="ET34" i="48" s="1"/>
  <c r="EU34" i="48" s="1"/>
  <c r="EF34" i="48"/>
  <c r="EI34" i="48" s="1"/>
  <c r="EJ34" i="48" s="1"/>
  <c r="CN33" i="48"/>
  <c r="CC33" i="48"/>
  <c r="BR33" i="48"/>
  <c r="BG33" i="48"/>
  <c r="AV33" i="48"/>
  <c r="DU32" i="48"/>
  <c r="DX32" i="48" s="1"/>
  <c r="DY32" i="48" s="1"/>
  <c r="DJ32" i="48"/>
  <c r="DD32" i="48"/>
  <c r="CY32" i="48"/>
  <c r="DB32" i="48" s="1"/>
  <c r="DC32" i="48" s="1"/>
  <c r="AQ32" i="48"/>
  <c r="AF32" i="48"/>
  <c r="U32" i="48"/>
  <c r="J32" i="48"/>
  <c r="CP31" i="48"/>
  <c r="CN31" i="48"/>
  <c r="CE31" i="48"/>
  <c r="CC31" i="48"/>
  <c r="BT31" i="48"/>
  <c r="BR31" i="48"/>
  <c r="BI31" i="48"/>
  <c r="BG31" i="48"/>
  <c r="AX31" i="48"/>
  <c r="AV31" i="48"/>
  <c r="GC30" i="48"/>
  <c r="GA30" i="48"/>
  <c r="GB30" i="48" s="1"/>
  <c r="DU30" i="48"/>
  <c r="DX30" i="48" s="1"/>
  <c r="DY30" i="48" s="1"/>
  <c r="DL30" i="48"/>
  <c r="DJ30" i="48"/>
  <c r="DD30" i="48"/>
  <c r="CY30" i="48"/>
  <c r="DB30" i="48" s="1"/>
  <c r="DC30" i="48" s="1"/>
  <c r="GC29" i="48"/>
  <c r="GA29" i="48"/>
  <c r="GB29" i="48" s="1"/>
  <c r="FR28" i="48"/>
  <c r="FP28" i="48"/>
  <c r="FQ28" i="48" s="1"/>
  <c r="FG28" i="48"/>
  <c r="FE28" i="48"/>
  <c r="FF28" i="48" s="1"/>
  <c r="EV28" i="48"/>
  <c r="ET28" i="48"/>
  <c r="EU28" i="48" s="1"/>
  <c r="EK28" i="48"/>
  <c r="EI28" i="48"/>
  <c r="EJ28" i="48" s="1"/>
  <c r="CS28" i="48"/>
  <c r="CQ28" i="48"/>
  <c r="CR28" i="48" s="1"/>
  <c r="CH28" i="48"/>
  <c r="CF28" i="48"/>
  <c r="CG28" i="48" s="1"/>
  <c r="BW28" i="48"/>
  <c r="BU28" i="48"/>
  <c r="BV28" i="48" s="1"/>
  <c r="BL28" i="48"/>
  <c r="BJ28" i="48"/>
  <c r="BK28" i="48" s="1"/>
  <c r="BA28" i="48"/>
  <c r="AY28" i="48"/>
  <c r="AZ28" i="48" s="1"/>
  <c r="FR27" i="48"/>
  <c r="FP27" i="48"/>
  <c r="FQ27" i="48" s="1"/>
  <c r="FG27" i="48"/>
  <c r="FE27" i="48"/>
  <c r="FF27" i="48" s="1"/>
  <c r="EV27" i="48"/>
  <c r="ET27" i="48"/>
  <c r="EU27" i="48" s="1"/>
  <c r="EK27" i="48"/>
  <c r="EI27" i="48"/>
  <c r="EJ27" i="48" s="1"/>
  <c r="DZ27" i="48"/>
  <c r="DX27" i="48"/>
  <c r="DY27" i="48" s="1"/>
  <c r="DO27" i="48"/>
  <c r="DM27" i="48"/>
  <c r="DN27" i="48" s="1"/>
  <c r="DD27" i="48"/>
  <c r="DB27" i="48"/>
  <c r="DC27" i="48" s="1"/>
  <c r="CS27" i="48"/>
  <c r="CQ27" i="48"/>
  <c r="CR27" i="48" s="1"/>
  <c r="CH27" i="48"/>
  <c r="CF27" i="48"/>
  <c r="CG27" i="48" s="1"/>
  <c r="BW27" i="48"/>
  <c r="BU27" i="48"/>
  <c r="BV27" i="48" s="1"/>
  <c r="BL27" i="48"/>
  <c r="BJ27" i="48"/>
  <c r="BK27" i="48" s="1"/>
  <c r="BA27" i="48"/>
  <c r="AY27" i="48"/>
  <c r="AZ27" i="48" s="1"/>
  <c r="AK27" i="48"/>
  <c r="Z27" i="48"/>
  <c r="O27" i="48"/>
  <c r="D27" i="48"/>
  <c r="DX26" i="48"/>
  <c r="DY26" i="48" s="1"/>
  <c r="EA26" i="48" s="1"/>
  <c r="DO26" i="48"/>
  <c r="DM26" i="48"/>
  <c r="DN26" i="48" s="1"/>
  <c r="DD26" i="48"/>
  <c r="DB26" i="48"/>
  <c r="DC26" i="48" s="1"/>
  <c r="GA25" i="48"/>
  <c r="GB25" i="48" s="1"/>
  <c r="CS25" i="48"/>
  <c r="CQ25" i="48"/>
  <c r="CR25" i="48" s="1"/>
  <c r="CH25" i="48"/>
  <c r="CF25" i="48"/>
  <c r="CG25" i="48" s="1"/>
  <c r="BW25" i="48"/>
  <c r="BU25" i="48"/>
  <c r="BV25" i="48" s="1"/>
  <c r="BL25" i="48"/>
  <c r="BJ25" i="48"/>
  <c r="BK25" i="48" s="1"/>
  <c r="BA25" i="48"/>
  <c r="AY25" i="48"/>
  <c r="AZ25" i="48" s="1"/>
  <c r="AM25" i="48"/>
  <c r="AK25" i="48"/>
  <c r="AB25" i="48"/>
  <c r="Z25" i="48"/>
  <c r="Q25" i="48"/>
  <c r="O25" i="48"/>
  <c r="F25" i="48"/>
  <c r="D25" i="48"/>
  <c r="GA24" i="48"/>
  <c r="GB24" i="48" s="1"/>
  <c r="DX24" i="48"/>
  <c r="DY24" i="48" s="1"/>
  <c r="DO24" i="48"/>
  <c r="DM24" i="48"/>
  <c r="DN24" i="48" s="1"/>
  <c r="DD24" i="48"/>
  <c r="DB24" i="48"/>
  <c r="DC24" i="48" s="1"/>
  <c r="CS24" i="48"/>
  <c r="CQ24" i="48"/>
  <c r="CR24" i="48" s="1"/>
  <c r="CH24" i="48"/>
  <c r="CF24" i="48"/>
  <c r="CG24" i="48" s="1"/>
  <c r="BW24" i="48"/>
  <c r="BU24" i="48"/>
  <c r="BV24" i="48" s="1"/>
  <c r="BL24" i="48"/>
  <c r="BJ24" i="48"/>
  <c r="BK24" i="48" s="1"/>
  <c r="BA24" i="48"/>
  <c r="AY24" i="48"/>
  <c r="AZ24" i="48" s="1"/>
  <c r="FP23" i="48"/>
  <c r="FQ23" i="48" s="1"/>
  <c r="FE23" i="48"/>
  <c r="FF23" i="48" s="1"/>
  <c r="ET23" i="48"/>
  <c r="EU23" i="48" s="1"/>
  <c r="EI23" i="48"/>
  <c r="EJ23" i="48" s="1"/>
  <c r="DX23" i="48"/>
  <c r="DY23" i="48" s="1"/>
  <c r="DO23" i="48"/>
  <c r="DM23" i="48"/>
  <c r="DN23" i="48" s="1"/>
  <c r="DD23" i="48"/>
  <c r="DB23" i="48"/>
  <c r="DC23" i="48" s="1"/>
  <c r="AP23" i="48"/>
  <c r="AN23" i="48"/>
  <c r="AO23" i="48" s="1"/>
  <c r="AE23" i="48"/>
  <c r="AC23" i="48"/>
  <c r="AD23" i="48" s="1"/>
  <c r="T23" i="48"/>
  <c r="R23" i="48"/>
  <c r="S23" i="48" s="1"/>
  <c r="I23" i="48"/>
  <c r="G23" i="48"/>
  <c r="H23" i="48" s="1"/>
  <c r="GA22" i="48"/>
  <c r="GB22" i="48" s="1"/>
  <c r="FP22" i="48"/>
  <c r="FQ22" i="48" s="1"/>
  <c r="FE22" i="48"/>
  <c r="FF22" i="48" s="1"/>
  <c r="ET22" i="48"/>
  <c r="EU22" i="48" s="1"/>
  <c r="EI22" i="48"/>
  <c r="EJ22" i="48" s="1"/>
  <c r="CQ22" i="48"/>
  <c r="CR22" i="48" s="1"/>
  <c r="CF22" i="48"/>
  <c r="CG22" i="48" s="1"/>
  <c r="BU22" i="48"/>
  <c r="BV22" i="48" s="1"/>
  <c r="BJ22" i="48"/>
  <c r="BK22" i="48" s="1"/>
  <c r="AY22" i="48"/>
  <c r="AZ22" i="48" s="1"/>
  <c r="AP22" i="48"/>
  <c r="AN22" i="48"/>
  <c r="AO22" i="48" s="1"/>
  <c r="AE22" i="48"/>
  <c r="AC22" i="48"/>
  <c r="AD22" i="48" s="1"/>
  <c r="T22" i="48"/>
  <c r="R22" i="48"/>
  <c r="S22" i="48" s="1"/>
  <c r="I22" i="48"/>
  <c r="G22" i="48"/>
  <c r="H22" i="48" s="1"/>
  <c r="GA21" i="48"/>
  <c r="GB21" i="48" s="1"/>
  <c r="DX21" i="48"/>
  <c r="DY21" i="48" s="1"/>
  <c r="DM21" i="48"/>
  <c r="DN21" i="48" s="1"/>
  <c r="DB21" i="48"/>
  <c r="DC21" i="48" s="1"/>
  <c r="CQ21" i="48"/>
  <c r="CR21" i="48" s="1"/>
  <c r="CF21" i="48"/>
  <c r="CG21" i="48" s="1"/>
  <c r="BU21" i="48"/>
  <c r="BV21" i="48" s="1"/>
  <c r="BJ21" i="48"/>
  <c r="BK21" i="48" s="1"/>
  <c r="AY21" i="48"/>
  <c r="AZ21" i="48" s="1"/>
  <c r="FP20" i="48"/>
  <c r="FQ20" i="48" s="1"/>
  <c r="FE20" i="48"/>
  <c r="FF20" i="48" s="1"/>
  <c r="ET20" i="48"/>
  <c r="EU20" i="48" s="1"/>
  <c r="EI20" i="48"/>
  <c r="EJ20" i="48" s="1"/>
  <c r="DX20" i="48"/>
  <c r="DY20" i="48" s="1"/>
  <c r="DM20" i="48"/>
  <c r="DN20" i="48" s="1"/>
  <c r="DB20" i="48"/>
  <c r="DC20" i="48" s="1"/>
  <c r="AN20" i="48"/>
  <c r="AO20" i="48" s="1"/>
  <c r="AC20" i="48"/>
  <c r="AD20" i="48" s="1"/>
  <c r="R20" i="48"/>
  <c r="S20" i="48" s="1"/>
  <c r="G20" i="48"/>
  <c r="H20" i="48" s="1"/>
  <c r="GA19" i="48"/>
  <c r="GB19" i="48" s="1"/>
  <c r="FP19" i="48"/>
  <c r="FQ19" i="48" s="1"/>
  <c r="FE19" i="48"/>
  <c r="FF19" i="48" s="1"/>
  <c r="ET19" i="48"/>
  <c r="EU19" i="48" s="1"/>
  <c r="EI19" i="48"/>
  <c r="EJ19" i="48" s="1"/>
  <c r="CQ19" i="48"/>
  <c r="CR19" i="48" s="1"/>
  <c r="CF19" i="48"/>
  <c r="CG19" i="48" s="1"/>
  <c r="BU19" i="48"/>
  <c r="BV19" i="48" s="1"/>
  <c r="BJ19" i="48"/>
  <c r="BK19" i="48" s="1"/>
  <c r="AY19" i="48"/>
  <c r="AZ19" i="48" s="1"/>
  <c r="AN19" i="48"/>
  <c r="AO19" i="48" s="1"/>
  <c r="AC19" i="48"/>
  <c r="AD19" i="48" s="1"/>
  <c r="R19" i="48"/>
  <c r="S19" i="48" s="1"/>
  <c r="G19" i="48"/>
  <c r="H19" i="48" s="1"/>
  <c r="GA18" i="48"/>
  <c r="GB18" i="48" s="1"/>
  <c r="DX18" i="48"/>
  <c r="DY18" i="48" s="1"/>
  <c r="DM18" i="48"/>
  <c r="DN18" i="48" s="1"/>
  <c r="DB18" i="48"/>
  <c r="DC18" i="48" s="1"/>
  <c r="CQ18" i="48"/>
  <c r="CR18" i="48" s="1"/>
  <c r="CF18" i="48"/>
  <c r="CG18" i="48" s="1"/>
  <c r="BU18" i="48"/>
  <c r="BV18" i="48" s="1"/>
  <c r="BJ18" i="48"/>
  <c r="BK18" i="48" s="1"/>
  <c r="AY18" i="48"/>
  <c r="AZ18" i="48" s="1"/>
  <c r="FP17" i="48"/>
  <c r="FQ17" i="48" s="1"/>
  <c r="FE17" i="48"/>
  <c r="FF17" i="48" s="1"/>
  <c r="ET17" i="48"/>
  <c r="EU17" i="48" s="1"/>
  <c r="EI17" i="48"/>
  <c r="EJ17" i="48" s="1"/>
  <c r="DX17" i="48"/>
  <c r="DY17" i="48" s="1"/>
  <c r="DM17" i="48"/>
  <c r="DN17" i="48" s="1"/>
  <c r="DB17" i="48"/>
  <c r="DC17" i="48" s="1"/>
  <c r="AN17" i="48"/>
  <c r="AO17" i="48" s="1"/>
  <c r="AC17" i="48"/>
  <c r="AD17" i="48" s="1"/>
  <c r="R17" i="48"/>
  <c r="S17" i="48" s="1"/>
  <c r="G17" i="48"/>
  <c r="H17" i="48" s="1"/>
  <c r="GA16" i="48"/>
  <c r="GB16" i="48" s="1"/>
  <c r="FP16" i="48"/>
  <c r="FQ16" i="48" s="1"/>
  <c r="FE16" i="48"/>
  <c r="FF16" i="48" s="1"/>
  <c r="ET16" i="48"/>
  <c r="EU16" i="48" s="1"/>
  <c r="EI16" i="48"/>
  <c r="EJ16" i="48" s="1"/>
  <c r="CQ16" i="48"/>
  <c r="CR16" i="48" s="1"/>
  <c r="CF16" i="48"/>
  <c r="CG16" i="48" s="1"/>
  <c r="BU16" i="48"/>
  <c r="BV16" i="48" s="1"/>
  <c r="BJ16" i="48"/>
  <c r="BK16" i="48" s="1"/>
  <c r="AY16" i="48"/>
  <c r="AZ16" i="48" s="1"/>
  <c r="AN16" i="48"/>
  <c r="AO16" i="48" s="1"/>
  <c r="AC16" i="48"/>
  <c r="AD16" i="48" s="1"/>
  <c r="R16" i="48"/>
  <c r="S16" i="48" s="1"/>
  <c r="G16" i="48"/>
  <c r="H16" i="48" s="1"/>
  <c r="GA15" i="48"/>
  <c r="GB15" i="48" s="1"/>
  <c r="FP15" i="48"/>
  <c r="FQ15" i="48" s="1"/>
  <c r="FE15" i="48"/>
  <c r="FF15" i="48" s="1"/>
  <c r="DX15" i="48"/>
  <c r="DY15" i="48" s="1"/>
  <c r="DM15" i="48"/>
  <c r="DN15" i="48" s="1"/>
  <c r="DB15" i="48"/>
  <c r="DC15" i="48" s="1"/>
  <c r="CQ15" i="48"/>
  <c r="CR15" i="48" s="1"/>
  <c r="CF15" i="48"/>
  <c r="CG15" i="48" s="1"/>
  <c r="BU15" i="48"/>
  <c r="BV15" i="48" s="1"/>
  <c r="BJ15" i="48"/>
  <c r="BK15" i="48" s="1"/>
  <c r="AY15" i="48"/>
  <c r="AZ15" i="48" s="1"/>
  <c r="GA14" i="48"/>
  <c r="GB14" i="48" s="1"/>
  <c r="FP14" i="48"/>
  <c r="FQ14" i="48" s="1"/>
  <c r="FE14" i="48"/>
  <c r="FF14" i="48" s="1"/>
  <c r="ET14" i="48"/>
  <c r="EU14" i="48" s="1"/>
  <c r="EI14" i="48"/>
  <c r="EJ14" i="48" s="1"/>
  <c r="DX14" i="48"/>
  <c r="DY14" i="48" s="1"/>
  <c r="DM14" i="48"/>
  <c r="DN14" i="48" s="1"/>
  <c r="DB14" i="48"/>
  <c r="DC14" i="48" s="1"/>
  <c r="AN14" i="48"/>
  <c r="AO14" i="48" s="1"/>
  <c r="AC14" i="48"/>
  <c r="AD14" i="48" s="1"/>
  <c r="R14" i="48"/>
  <c r="S14" i="48" s="1"/>
  <c r="G14" i="48"/>
  <c r="H14" i="48" s="1"/>
  <c r="GA13" i="48"/>
  <c r="GB13" i="48" s="1"/>
  <c r="FP13" i="48"/>
  <c r="FQ13" i="48" s="1"/>
  <c r="FE13" i="48"/>
  <c r="FF13" i="48" s="1"/>
  <c r="ET13" i="48"/>
  <c r="EU13" i="48" s="1"/>
  <c r="EI13" i="48"/>
  <c r="EJ13" i="48" s="1"/>
  <c r="CQ13" i="48"/>
  <c r="CR13" i="48" s="1"/>
  <c r="CF13" i="48"/>
  <c r="CG13" i="48" s="1"/>
  <c r="BU13" i="48"/>
  <c r="BV13" i="48" s="1"/>
  <c r="BJ13" i="48"/>
  <c r="BK13" i="48" s="1"/>
  <c r="AY13" i="48"/>
  <c r="AZ13" i="48" s="1"/>
  <c r="AN13" i="48"/>
  <c r="AO13" i="48" s="1"/>
  <c r="AC13" i="48"/>
  <c r="AD13" i="48" s="1"/>
  <c r="R13" i="48"/>
  <c r="S13" i="48" s="1"/>
  <c r="G13" i="48"/>
  <c r="H13" i="48" s="1"/>
  <c r="FX12" i="48"/>
  <c r="GA12" i="48" s="1"/>
  <c r="GB12" i="48" s="1"/>
  <c r="FM12" i="48"/>
  <c r="FP12" i="48" s="1"/>
  <c r="FQ12" i="48" s="1"/>
  <c r="FB12" i="48"/>
  <c r="FE12" i="48" s="1"/>
  <c r="FF12" i="48" s="1"/>
  <c r="EQ12" i="48"/>
  <c r="ET12" i="48" s="1"/>
  <c r="EU12" i="48" s="1"/>
  <c r="EF12" i="48"/>
  <c r="EI12" i="48" s="1"/>
  <c r="EJ12" i="48" s="1"/>
  <c r="DX12" i="48"/>
  <c r="DY12" i="48" s="1"/>
  <c r="DM12" i="48"/>
  <c r="DN12" i="48" s="1"/>
  <c r="DB12" i="48"/>
  <c r="DC12" i="48" s="1"/>
  <c r="CN12" i="48"/>
  <c r="CQ12" i="48" s="1"/>
  <c r="CR12" i="48" s="1"/>
  <c r="CC12" i="48"/>
  <c r="CF12" i="48" s="1"/>
  <c r="CG12" i="48" s="1"/>
  <c r="BR12" i="48"/>
  <c r="BU12" i="48" s="1"/>
  <c r="BV12" i="48" s="1"/>
  <c r="BG12" i="48"/>
  <c r="BJ12" i="48" s="1"/>
  <c r="BK12" i="48" s="1"/>
  <c r="AV12" i="48"/>
  <c r="AY12" i="48" s="1"/>
  <c r="AZ12" i="48" s="1"/>
  <c r="FX11" i="48"/>
  <c r="GA11" i="48" s="1"/>
  <c r="GB11" i="48" s="1"/>
  <c r="FM11" i="48"/>
  <c r="FP11" i="48" s="1"/>
  <c r="FQ11" i="48" s="1"/>
  <c r="FB11" i="48"/>
  <c r="FE11" i="48" s="1"/>
  <c r="FF11" i="48" s="1"/>
  <c r="EQ11" i="48"/>
  <c r="ET11" i="48" s="1"/>
  <c r="EU11" i="48" s="1"/>
  <c r="EF11" i="48"/>
  <c r="EI11" i="48" s="1"/>
  <c r="EJ11" i="48" s="1"/>
  <c r="DU11" i="48"/>
  <c r="DX11" i="48" s="1"/>
  <c r="DY11" i="48" s="1"/>
  <c r="DJ11" i="48"/>
  <c r="DM11" i="48" s="1"/>
  <c r="DN11" i="48" s="1"/>
  <c r="CY11" i="48"/>
  <c r="DB11" i="48" s="1"/>
  <c r="DC11" i="48" s="1"/>
  <c r="CN11" i="48"/>
  <c r="CQ11" i="48" s="1"/>
  <c r="CR11" i="48" s="1"/>
  <c r="CC11" i="48"/>
  <c r="CF11" i="48" s="1"/>
  <c r="CG11" i="48" s="1"/>
  <c r="BR11" i="48"/>
  <c r="BU11" i="48" s="1"/>
  <c r="BV11" i="48" s="1"/>
  <c r="BG11" i="48"/>
  <c r="BJ11" i="48" s="1"/>
  <c r="BK11" i="48" s="1"/>
  <c r="AV11" i="48"/>
  <c r="AY11" i="48" s="1"/>
  <c r="AZ11" i="48" s="1"/>
  <c r="AN11" i="48"/>
  <c r="AO11" i="48" s="1"/>
  <c r="AC11" i="48"/>
  <c r="AD11" i="48" s="1"/>
  <c r="R11" i="48"/>
  <c r="S11" i="48" s="1"/>
  <c r="G11" i="48"/>
  <c r="H11" i="48" s="1"/>
  <c r="DU10" i="48"/>
  <c r="DX10" i="48" s="1"/>
  <c r="DY10" i="48" s="1"/>
  <c r="DJ10" i="48"/>
  <c r="DM10" i="48" s="1"/>
  <c r="DN10" i="48" s="1"/>
  <c r="CY10" i="48"/>
  <c r="DB10" i="48" s="1"/>
  <c r="DC10" i="48" s="1"/>
  <c r="AK10" i="48"/>
  <c r="AN10" i="48" s="1"/>
  <c r="AO10" i="48" s="1"/>
  <c r="Z10" i="48"/>
  <c r="AC10" i="48" s="1"/>
  <c r="AD10" i="48" s="1"/>
  <c r="O10" i="48"/>
  <c r="R10" i="48" s="1"/>
  <c r="S10" i="48" s="1"/>
  <c r="D10" i="48"/>
  <c r="G10" i="48" s="1"/>
  <c r="H10" i="48" s="1"/>
  <c r="GA9" i="48"/>
  <c r="GB9" i="48" s="1"/>
  <c r="FP9" i="48"/>
  <c r="FQ9" i="48" s="1"/>
  <c r="FE9" i="48"/>
  <c r="FF9" i="48" s="1"/>
  <c r="ET9" i="48"/>
  <c r="EU9" i="48" s="1"/>
  <c r="EI9" i="48"/>
  <c r="EJ9" i="48" s="1"/>
  <c r="CQ9" i="48"/>
  <c r="CR9" i="48" s="1"/>
  <c r="CF9" i="48"/>
  <c r="CG9" i="48" s="1"/>
  <c r="BU9" i="48"/>
  <c r="BV9" i="48" s="1"/>
  <c r="BJ9" i="48"/>
  <c r="BK9" i="48" s="1"/>
  <c r="AY9" i="48"/>
  <c r="AZ9" i="48" s="1"/>
  <c r="GA8" i="48"/>
  <c r="GB8" i="48" s="1"/>
  <c r="FP8" i="48"/>
  <c r="FQ8" i="48" s="1"/>
  <c r="FE8" i="48"/>
  <c r="FF8" i="48" s="1"/>
  <c r="ET8" i="48"/>
  <c r="EU8" i="48" s="1"/>
  <c r="EI8" i="48"/>
  <c r="EJ8" i="48" s="1"/>
  <c r="DX8" i="48"/>
  <c r="DY8" i="48" s="1"/>
  <c r="DM8" i="48"/>
  <c r="DN8" i="48" s="1"/>
  <c r="DB8" i="48"/>
  <c r="DC8" i="48" s="1"/>
  <c r="CN8" i="48"/>
  <c r="CQ8" i="48" s="1"/>
  <c r="CR8" i="48" s="1"/>
  <c r="CC8" i="48"/>
  <c r="CF8" i="48" s="1"/>
  <c r="CG8" i="48" s="1"/>
  <c r="BR8" i="48"/>
  <c r="BU8" i="48" s="1"/>
  <c r="BV8" i="48" s="1"/>
  <c r="BG8" i="48"/>
  <c r="BJ8" i="48" s="1"/>
  <c r="BK8" i="48" s="1"/>
  <c r="AV8" i="48"/>
  <c r="AY8" i="48" s="1"/>
  <c r="AZ8" i="48" s="1"/>
  <c r="AN8" i="48"/>
  <c r="AO8" i="48" s="1"/>
  <c r="AC8" i="48"/>
  <c r="AD8" i="48" s="1"/>
  <c r="R8" i="48"/>
  <c r="S8" i="48" s="1"/>
  <c r="G8" i="48"/>
  <c r="H8" i="48" s="1"/>
  <c r="FX7" i="48"/>
  <c r="GA7" i="48" s="1"/>
  <c r="GB7" i="48" s="1"/>
  <c r="FM7" i="48"/>
  <c r="FP7" i="48" s="1"/>
  <c r="FQ7" i="48" s="1"/>
  <c r="FE7" i="48"/>
  <c r="FF7" i="48" s="1"/>
  <c r="EQ7" i="48"/>
  <c r="ET7" i="48" s="1"/>
  <c r="EU7" i="48" s="1"/>
  <c r="EF7" i="48"/>
  <c r="EI7" i="48" s="1"/>
  <c r="EJ7" i="48" s="1"/>
  <c r="DU7" i="48"/>
  <c r="DX7" i="48" s="1"/>
  <c r="DY7" i="48" s="1"/>
  <c r="DJ7" i="48"/>
  <c r="DM7" i="48" s="1"/>
  <c r="DN7" i="48" s="1"/>
  <c r="CY7" i="48"/>
  <c r="DB7" i="48" s="1"/>
  <c r="DC7" i="48" s="1"/>
  <c r="CN7" i="48"/>
  <c r="CQ7" i="48" s="1"/>
  <c r="CR7" i="48" s="1"/>
  <c r="CC7" i="48"/>
  <c r="CF7" i="48" s="1"/>
  <c r="CG7" i="48" s="1"/>
  <c r="BR7" i="48"/>
  <c r="BU7" i="48" s="1"/>
  <c r="BV7" i="48" s="1"/>
  <c r="BG7" i="48"/>
  <c r="BJ7" i="48" s="1"/>
  <c r="BK7" i="48" s="1"/>
  <c r="AV7" i="48"/>
  <c r="AY7" i="48" s="1"/>
  <c r="AZ7" i="48" s="1"/>
  <c r="AK7" i="48"/>
  <c r="AN7" i="48" s="1"/>
  <c r="AO7" i="48" s="1"/>
  <c r="Z7" i="48"/>
  <c r="AC7" i="48" s="1"/>
  <c r="AD7" i="48" s="1"/>
  <c r="O7" i="48"/>
  <c r="R7" i="48" s="1"/>
  <c r="S7" i="48" s="1"/>
  <c r="D7" i="48"/>
  <c r="G7" i="48" s="1"/>
  <c r="H7" i="48" s="1"/>
  <c r="FX6" i="48"/>
  <c r="GA6" i="48" s="1"/>
  <c r="GB6" i="48" s="1"/>
  <c r="FM6" i="48"/>
  <c r="FP6" i="48" s="1"/>
  <c r="FQ6" i="48" s="1"/>
  <c r="FB6" i="48"/>
  <c r="FE6" i="48" s="1"/>
  <c r="FF6" i="48" s="1"/>
  <c r="EQ6" i="48"/>
  <c r="ET6" i="48" s="1"/>
  <c r="EU6" i="48" s="1"/>
  <c r="EF6" i="48"/>
  <c r="EI6" i="48" s="1"/>
  <c r="EJ6" i="48" s="1"/>
  <c r="DU6" i="48"/>
  <c r="DX6" i="48" s="1"/>
  <c r="DY6" i="48" s="1"/>
  <c r="DJ6" i="48"/>
  <c r="DM6" i="48" s="1"/>
  <c r="DN6" i="48" s="1"/>
  <c r="CY6" i="48"/>
  <c r="DB6" i="48" s="1"/>
  <c r="DC6" i="48" s="1"/>
  <c r="F20" i="50"/>
  <c r="D20" i="50"/>
  <c r="F19" i="50"/>
  <c r="D19" i="50"/>
  <c r="B18" i="50"/>
  <c r="B18" i="64" s="1"/>
  <c r="H15" i="50"/>
  <c r="F15" i="50"/>
  <c r="B15" i="50"/>
  <c r="D14" i="50"/>
  <c r="K83" i="50"/>
  <c r="B6" i="50"/>
  <c r="B5" i="50"/>
  <c r="B4" i="50"/>
  <c r="EA37" i="43"/>
  <c r="DP37" i="43"/>
  <c r="DE37" i="43"/>
  <c r="CT34" i="43"/>
  <c r="CI34" i="43"/>
  <c r="BX34" i="43"/>
  <c r="BM34" i="43"/>
  <c r="BB34" i="43"/>
  <c r="AQ32" i="43"/>
  <c r="AF32" i="43"/>
  <c r="U32" i="43"/>
  <c r="J32" i="43"/>
  <c r="DZ30" i="43"/>
  <c r="DX30" i="43"/>
  <c r="DY30" i="43" s="1"/>
  <c r="DZ29" i="43"/>
  <c r="DX29" i="43"/>
  <c r="DY29" i="43" s="1"/>
  <c r="DO29" i="43"/>
  <c r="DM29" i="43"/>
  <c r="DN29" i="43" s="1"/>
  <c r="DO28" i="43"/>
  <c r="DM28" i="43"/>
  <c r="DN28" i="43" s="1"/>
  <c r="DD28" i="43"/>
  <c r="DB28" i="43"/>
  <c r="DC28" i="43" s="1"/>
  <c r="CS28" i="43"/>
  <c r="CQ28" i="43"/>
  <c r="CR28" i="43" s="1"/>
  <c r="CH28" i="43"/>
  <c r="CF28" i="43"/>
  <c r="CG28" i="43" s="1"/>
  <c r="BW28" i="43"/>
  <c r="BU28" i="43"/>
  <c r="BV28" i="43" s="1"/>
  <c r="BL28" i="43"/>
  <c r="BJ28" i="43"/>
  <c r="BK28" i="43" s="1"/>
  <c r="BA28" i="43"/>
  <c r="AY28" i="43"/>
  <c r="AZ28" i="43" s="1"/>
  <c r="DD27" i="43"/>
  <c r="DB27" i="43"/>
  <c r="DC27" i="43" s="1"/>
  <c r="CS27" i="43"/>
  <c r="CQ27" i="43"/>
  <c r="CR27" i="43" s="1"/>
  <c r="CH27" i="43"/>
  <c r="CF27" i="43"/>
  <c r="CG27" i="43" s="1"/>
  <c r="BW27" i="43"/>
  <c r="BU27" i="43"/>
  <c r="BV27" i="43" s="1"/>
  <c r="BL27" i="43"/>
  <c r="BJ27" i="43"/>
  <c r="BK27" i="43" s="1"/>
  <c r="BA27" i="43"/>
  <c r="AY27" i="43"/>
  <c r="AZ27" i="43" s="1"/>
  <c r="DX25" i="43"/>
  <c r="DY25" i="43" s="1"/>
  <c r="CQ25" i="43"/>
  <c r="CR25" i="43" s="1"/>
  <c r="CH25" i="43"/>
  <c r="CF25" i="43"/>
  <c r="CG25" i="43" s="1"/>
  <c r="BW25" i="43"/>
  <c r="BU25" i="43"/>
  <c r="BV25" i="43" s="1"/>
  <c r="BL25" i="43"/>
  <c r="BJ25" i="43"/>
  <c r="BK25" i="43" s="1"/>
  <c r="BA25" i="43"/>
  <c r="AY25" i="43"/>
  <c r="AZ25" i="43" s="1"/>
  <c r="DX24" i="43"/>
  <c r="DY24" i="43" s="1"/>
  <c r="DM24" i="43"/>
  <c r="DN24" i="43" s="1"/>
  <c r="CQ24" i="43"/>
  <c r="CR24" i="43" s="1"/>
  <c r="CH24" i="43"/>
  <c r="CF24" i="43"/>
  <c r="CG24" i="43" s="1"/>
  <c r="BW24" i="43"/>
  <c r="BU24" i="43"/>
  <c r="BV24" i="43" s="1"/>
  <c r="BL24" i="43"/>
  <c r="BJ24" i="43"/>
  <c r="BK24" i="43" s="1"/>
  <c r="BA24" i="43"/>
  <c r="AY24" i="43"/>
  <c r="AZ24" i="43" s="1"/>
  <c r="DM23" i="43"/>
  <c r="DN23" i="43" s="1"/>
  <c r="DB23" i="43"/>
  <c r="DC23" i="43" s="1"/>
  <c r="AP23" i="43"/>
  <c r="AN23" i="43"/>
  <c r="AO23" i="43" s="1"/>
  <c r="AE23" i="43"/>
  <c r="AC23" i="43"/>
  <c r="AD23" i="43" s="1"/>
  <c r="T23" i="43"/>
  <c r="R23" i="43"/>
  <c r="S23" i="43" s="1"/>
  <c r="I23" i="43"/>
  <c r="G23" i="43"/>
  <c r="H23" i="43" s="1"/>
  <c r="DX22" i="43"/>
  <c r="DY22" i="43" s="1"/>
  <c r="DB22" i="43"/>
  <c r="DC22" i="43" s="1"/>
  <c r="CQ22" i="43"/>
  <c r="CR22" i="43" s="1"/>
  <c r="CF22" i="43"/>
  <c r="CG22" i="43" s="1"/>
  <c r="BU22" i="43"/>
  <c r="BV22" i="43" s="1"/>
  <c r="BJ22" i="43"/>
  <c r="BK22" i="43" s="1"/>
  <c r="AY22" i="43"/>
  <c r="AZ22" i="43" s="1"/>
  <c r="AP22" i="43"/>
  <c r="AN22" i="43"/>
  <c r="AO22" i="43" s="1"/>
  <c r="AE22" i="43"/>
  <c r="AC22" i="43"/>
  <c r="AD22" i="43" s="1"/>
  <c r="T22" i="43"/>
  <c r="R22" i="43"/>
  <c r="S22" i="43" s="1"/>
  <c r="I22" i="43"/>
  <c r="G22" i="43"/>
  <c r="H22" i="43" s="1"/>
  <c r="DX21" i="43"/>
  <c r="DY21" i="43" s="1"/>
  <c r="DM21" i="43"/>
  <c r="DN21" i="43" s="1"/>
  <c r="CQ21" i="43"/>
  <c r="CR21" i="43" s="1"/>
  <c r="CF21" i="43"/>
  <c r="CG21" i="43" s="1"/>
  <c r="BU21" i="43"/>
  <c r="BV21" i="43" s="1"/>
  <c r="BJ21" i="43"/>
  <c r="BK21" i="43" s="1"/>
  <c r="AY21" i="43"/>
  <c r="AZ21" i="43" s="1"/>
  <c r="DM20" i="43"/>
  <c r="DN20" i="43" s="1"/>
  <c r="DB20" i="43"/>
  <c r="DC20" i="43" s="1"/>
  <c r="AN20" i="43"/>
  <c r="AO20" i="43" s="1"/>
  <c r="AC20" i="43"/>
  <c r="AD20" i="43" s="1"/>
  <c r="R20" i="43"/>
  <c r="S20" i="43" s="1"/>
  <c r="G20" i="43"/>
  <c r="H20" i="43" s="1"/>
  <c r="DX19" i="43"/>
  <c r="DY19" i="43" s="1"/>
  <c r="DB19" i="43"/>
  <c r="DC19" i="43" s="1"/>
  <c r="CQ19" i="43"/>
  <c r="CR19" i="43" s="1"/>
  <c r="CF19" i="43"/>
  <c r="CG19" i="43" s="1"/>
  <c r="BU19" i="43"/>
  <c r="BV19" i="43" s="1"/>
  <c r="BJ19" i="43"/>
  <c r="BK19" i="43" s="1"/>
  <c r="AY19" i="43"/>
  <c r="AZ19" i="43" s="1"/>
  <c r="AN19" i="43"/>
  <c r="AO19" i="43" s="1"/>
  <c r="AC19" i="43"/>
  <c r="AD19" i="43" s="1"/>
  <c r="R19" i="43"/>
  <c r="S19" i="43" s="1"/>
  <c r="G19" i="43"/>
  <c r="H19" i="43" s="1"/>
  <c r="DX18" i="43"/>
  <c r="DY18" i="43" s="1"/>
  <c r="DM18" i="43"/>
  <c r="DN18" i="43" s="1"/>
  <c r="CQ18" i="43"/>
  <c r="CR18" i="43" s="1"/>
  <c r="CF18" i="43"/>
  <c r="CG18" i="43" s="1"/>
  <c r="BU18" i="43"/>
  <c r="BV18" i="43" s="1"/>
  <c r="BJ18" i="43"/>
  <c r="BK18" i="43" s="1"/>
  <c r="AY18" i="43"/>
  <c r="AZ18" i="43" s="1"/>
  <c r="DM17" i="43"/>
  <c r="DN17" i="43" s="1"/>
  <c r="DB17" i="43"/>
  <c r="DC17" i="43" s="1"/>
  <c r="AN17" i="43"/>
  <c r="AO17" i="43" s="1"/>
  <c r="AC17" i="43"/>
  <c r="AD17" i="43" s="1"/>
  <c r="R17" i="43"/>
  <c r="S17" i="43" s="1"/>
  <c r="G17" i="43"/>
  <c r="H17" i="43" s="1"/>
  <c r="DX16" i="43"/>
  <c r="DY16" i="43" s="1"/>
  <c r="DB16" i="43"/>
  <c r="DC16" i="43" s="1"/>
  <c r="CQ16" i="43"/>
  <c r="CR16" i="43" s="1"/>
  <c r="CF16" i="43"/>
  <c r="CG16" i="43" s="1"/>
  <c r="BU16" i="43"/>
  <c r="BV16" i="43" s="1"/>
  <c r="BJ16" i="43"/>
  <c r="BK16" i="43" s="1"/>
  <c r="AY16" i="43"/>
  <c r="AZ16" i="43" s="1"/>
  <c r="AN16" i="43"/>
  <c r="AO16" i="43" s="1"/>
  <c r="AC16" i="43"/>
  <c r="AD16" i="43" s="1"/>
  <c r="R16" i="43"/>
  <c r="S16" i="43" s="1"/>
  <c r="G16" i="43"/>
  <c r="H16" i="43" s="1"/>
  <c r="DX15" i="43"/>
  <c r="DY15" i="43" s="1"/>
  <c r="DM15" i="43"/>
  <c r="DN15" i="43" s="1"/>
  <c r="CQ15" i="43"/>
  <c r="CR15" i="43" s="1"/>
  <c r="CF15" i="43"/>
  <c r="CG15" i="43" s="1"/>
  <c r="BU15" i="43"/>
  <c r="BV15" i="43" s="1"/>
  <c r="BJ15" i="43"/>
  <c r="BK15" i="43" s="1"/>
  <c r="AY15" i="43"/>
  <c r="AZ15" i="43" s="1"/>
  <c r="DX14" i="43"/>
  <c r="DY14" i="43" s="1"/>
  <c r="DM14" i="43"/>
  <c r="DN14" i="43" s="1"/>
  <c r="DB14" i="43"/>
  <c r="DC14" i="43" s="1"/>
  <c r="AN14" i="43"/>
  <c r="AO14" i="43" s="1"/>
  <c r="AC14" i="43"/>
  <c r="AD14" i="43" s="1"/>
  <c r="R14" i="43"/>
  <c r="S14" i="43" s="1"/>
  <c r="G14" i="43"/>
  <c r="H14" i="43" s="1"/>
  <c r="DX13" i="43"/>
  <c r="DY13" i="43" s="1"/>
  <c r="DM13" i="43"/>
  <c r="DN13" i="43" s="1"/>
  <c r="DB13" i="43"/>
  <c r="DC13" i="43" s="1"/>
  <c r="CN13" i="43"/>
  <c r="CQ13" i="43" s="1"/>
  <c r="CR13" i="43" s="1"/>
  <c r="CF13" i="43"/>
  <c r="CG13" i="43" s="1"/>
  <c r="BU13" i="43"/>
  <c r="BV13" i="43" s="1"/>
  <c r="BJ13" i="43"/>
  <c r="BK13" i="43" s="1"/>
  <c r="AY13" i="43"/>
  <c r="AZ13" i="43" s="1"/>
  <c r="AN13" i="43"/>
  <c r="AO13" i="43" s="1"/>
  <c r="AC13" i="43"/>
  <c r="AD13" i="43" s="1"/>
  <c r="R13" i="43"/>
  <c r="S13" i="43" s="1"/>
  <c r="G13" i="43"/>
  <c r="H13" i="43" s="1"/>
  <c r="DU12" i="43"/>
  <c r="DX12" i="43" s="1"/>
  <c r="DY12" i="43" s="1"/>
  <c r="DJ12" i="43"/>
  <c r="DM12" i="43" s="1"/>
  <c r="DN12" i="43" s="1"/>
  <c r="CY12" i="43"/>
  <c r="DB12" i="43" s="1"/>
  <c r="DC12" i="43" s="1"/>
  <c r="CN12" i="43"/>
  <c r="CQ12" i="43" s="1"/>
  <c r="CR12" i="43" s="1"/>
  <c r="CC12" i="43"/>
  <c r="CF12" i="43" s="1"/>
  <c r="CG12" i="43" s="1"/>
  <c r="BR12" i="43"/>
  <c r="BU12" i="43" s="1"/>
  <c r="BV12" i="43" s="1"/>
  <c r="BG12" i="43"/>
  <c r="BJ12" i="43" s="1"/>
  <c r="BK12" i="43" s="1"/>
  <c r="AV12" i="43"/>
  <c r="AY12" i="43" s="1"/>
  <c r="AZ12" i="43" s="1"/>
  <c r="DU11" i="43"/>
  <c r="DX11" i="43" s="1"/>
  <c r="DY11" i="43" s="1"/>
  <c r="DJ11" i="43"/>
  <c r="DM11" i="43" s="1"/>
  <c r="DN11" i="43" s="1"/>
  <c r="CY11" i="43"/>
  <c r="DB11" i="43" s="1"/>
  <c r="DC11" i="43" s="1"/>
  <c r="CN11" i="43"/>
  <c r="CQ11" i="43" s="1"/>
  <c r="CR11" i="43" s="1"/>
  <c r="CC11" i="43"/>
  <c r="CF11" i="43" s="1"/>
  <c r="CG11" i="43" s="1"/>
  <c r="BR11" i="43"/>
  <c r="BU11" i="43" s="1"/>
  <c r="BV11" i="43" s="1"/>
  <c r="BG11" i="43"/>
  <c r="BJ11" i="43" s="1"/>
  <c r="BK11" i="43" s="1"/>
  <c r="AV11" i="43"/>
  <c r="AY11" i="43" s="1"/>
  <c r="AZ11" i="43" s="1"/>
  <c r="AN11" i="43"/>
  <c r="AO11" i="43" s="1"/>
  <c r="AC11" i="43"/>
  <c r="AD11" i="43" s="1"/>
  <c r="R11" i="43"/>
  <c r="S11" i="43" s="1"/>
  <c r="G11" i="43"/>
  <c r="H11" i="43" s="1"/>
  <c r="AK10" i="43"/>
  <c r="AN10" i="43" s="1"/>
  <c r="AO10" i="43" s="1"/>
  <c r="Z10" i="43"/>
  <c r="AC10" i="43" s="1"/>
  <c r="AD10" i="43" s="1"/>
  <c r="O10" i="43"/>
  <c r="R10" i="43" s="1"/>
  <c r="S10" i="43" s="1"/>
  <c r="D10" i="43"/>
  <c r="G10" i="43" s="1"/>
  <c r="H10" i="43" s="1"/>
  <c r="DX9" i="43"/>
  <c r="DY9" i="43" s="1"/>
  <c r="DM9" i="43"/>
  <c r="DN9" i="43" s="1"/>
  <c r="DB9" i="43"/>
  <c r="DC9" i="43" s="1"/>
  <c r="CQ9" i="43"/>
  <c r="CR9" i="43" s="1"/>
  <c r="CF9" i="43"/>
  <c r="CG9" i="43" s="1"/>
  <c r="BU9" i="43"/>
  <c r="BV9" i="43" s="1"/>
  <c r="BJ9" i="43"/>
  <c r="BK9" i="43" s="1"/>
  <c r="AY9" i="43"/>
  <c r="AZ9" i="43" s="1"/>
  <c r="DX8" i="43"/>
  <c r="DY8" i="43" s="1"/>
  <c r="DM8" i="43"/>
  <c r="DN8" i="43" s="1"/>
  <c r="DB8" i="43"/>
  <c r="DC8" i="43" s="1"/>
  <c r="CN8" i="43"/>
  <c r="CQ8" i="43" s="1"/>
  <c r="CR8" i="43" s="1"/>
  <c r="CC8" i="43"/>
  <c r="CF8" i="43" s="1"/>
  <c r="CG8" i="43" s="1"/>
  <c r="BR8" i="43"/>
  <c r="BU8" i="43" s="1"/>
  <c r="BV8" i="43" s="1"/>
  <c r="BG8" i="43"/>
  <c r="BJ8" i="43" s="1"/>
  <c r="BK8" i="43" s="1"/>
  <c r="AV8" i="43"/>
  <c r="AY8" i="43" s="1"/>
  <c r="AZ8" i="43" s="1"/>
  <c r="AN8" i="43"/>
  <c r="AO8" i="43" s="1"/>
  <c r="AC8" i="43"/>
  <c r="AD8" i="43" s="1"/>
  <c r="R8" i="43"/>
  <c r="S8" i="43" s="1"/>
  <c r="G8" i="43"/>
  <c r="H8" i="43" s="1"/>
  <c r="DU7" i="43"/>
  <c r="DX7" i="43" s="1"/>
  <c r="DY7" i="43" s="1"/>
  <c r="DJ7" i="43"/>
  <c r="DM7" i="43" s="1"/>
  <c r="DN7" i="43" s="1"/>
  <c r="CY7" i="43"/>
  <c r="DB7" i="43" s="1"/>
  <c r="DC7" i="43" s="1"/>
  <c r="CN7" i="43"/>
  <c r="CQ7" i="43" s="1"/>
  <c r="CR7" i="43" s="1"/>
  <c r="CC7" i="43"/>
  <c r="CF7" i="43" s="1"/>
  <c r="CG7" i="43" s="1"/>
  <c r="BR7" i="43"/>
  <c r="BU7" i="43" s="1"/>
  <c r="BV7" i="43" s="1"/>
  <c r="BG7" i="43"/>
  <c r="BJ7" i="43" s="1"/>
  <c r="BK7" i="43" s="1"/>
  <c r="AV7" i="43"/>
  <c r="AY7" i="43" s="1"/>
  <c r="AZ7" i="43" s="1"/>
  <c r="AK7" i="43"/>
  <c r="AN7" i="43" s="1"/>
  <c r="AO7" i="43" s="1"/>
  <c r="Z7" i="43"/>
  <c r="AC7" i="43" s="1"/>
  <c r="AD7" i="43" s="1"/>
  <c r="O7" i="43"/>
  <c r="R7" i="43" s="1"/>
  <c r="S7" i="43" s="1"/>
  <c r="D7" i="43"/>
  <c r="G7" i="43" s="1"/>
  <c r="H7" i="43" s="1"/>
  <c r="DU6" i="43"/>
  <c r="DX6" i="43" s="1"/>
  <c r="DY6" i="43" s="1"/>
  <c r="DJ6" i="43"/>
  <c r="DM6" i="43" s="1"/>
  <c r="DN6" i="43" s="1"/>
  <c r="CY6" i="43"/>
  <c r="DB6" i="43" s="1"/>
  <c r="DC6" i="43" s="1"/>
  <c r="H29" i="42"/>
  <c r="F15" i="54"/>
  <c r="B15" i="54"/>
  <c r="B6" i="54"/>
  <c r="B5" i="54"/>
  <c r="B4" i="54"/>
  <c r="F20" i="41"/>
  <c r="D20" i="41"/>
  <c r="F19" i="41"/>
  <c r="D19" i="41"/>
  <c r="F15" i="41"/>
  <c r="B15" i="41"/>
  <c r="D14" i="41"/>
  <c r="E15" i="41"/>
  <c r="B6" i="41"/>
  <c r="B5" i="41"/>
  <c r="B4" i="41"/>
  <c r="B14" i="19"/>
  <c r="B20" i="19" s="1"/>
  <c r="B13" i="19"/>
  <c r="B12" i="19"/>
  <c r="B11" i="19"/>
  <c r="B6" i="19"/>
  <c r="B5" i="19"/>
  <c r="B4" i="19"/>
  <c r="B14" i="18"/>
  <c r="B20" i="18" s="1"/>
  <c r="B13" i="18"/>
  <c r="B12" i="18"/>
  <c r="B11" i="18"/>
  <c r="B6" i="18"/>
  <c r="B5" i="18"/>
  <c r="B4" i="18"/>
  <c r="B14" i="15"/>
  <c r="B20" i="15" s="1"/>
  <c r="B13" i="15"/>
  <c r="B12" i="15"/>
  <c r="B11" i="15"/>
  <c r="B6" i="15"/>
  <c r="B5" i="15"/>
  <c r="B4" i="15"/>
  <c r="B14" i="14"/>
  <c r="B20" i="14" s="1"/>
  <c r="B13" i="14"/>
  <c r="B12" i="14"/>
  <c r="K18" i="14" s="1"/>
  <c r="B11" i="14"/>
  <c r="B6" i="14"/>
  <c r="B5" i="14"/>
  <c r="B4" i="14"/>
  <c r="B14" i="11"/>
  <c r="B13" i="11"/>
  <c r="B12" i="11"/>
  <c r="I18" i="11" s="1"/>
  <c r="J18" i="11" s="1"/>
  <c r="B11" i="11"/>
  <c r="B6" i="11"/>
  <c r="B5" i="11"/>
  <c r="B4" i="11"/>
  <c r="B14" i="10"/>
  <c r="B20" i="10" s="1"/>
  <c r="B13" i="10"/>
  <c r="B12" i="10"/>
  <c r="I18" i="10" s="1"/>
  <c r="J18" i="10" s="1"/>
  <c r="B11" i="10"/>
  <c r="B6" i="10"/>
  <c r="B5" i="10"/>
  <c r="B4" i="10"/>
  <c r="S49" i="6"/>
  <c r="M25" i="6"/>
  <c r="K28" i="6" s="1"/>
  <c r="B23" i="6"/>
  <c r="B18" i="6"/>
  <c r="B30" i="6" s="1"/>
  <c r="B17" i="6"/>
  <c r="B16" i="6"/>
  <c r="P12" i="6" s="1"/>
  <c r="B15" i="6"/>
  <c r="B14" i="6"/>
  <c r="B13" i="6"/>
  <c r="L25" i="6"/>
  <c r="B8" i="6"/>
  <c r="B6" i="6"/>
  <c r="B5" i="6"/>
  <c r="B4" i="6"/>
  <c r="S49" i="5"/>
  <c r="B30" i="5"/>
  <c r="M25" i="5"/>
  <c r="K28" i="5" s="1"/>
  <c r="B17" i="5"/>
  <c r="B16" i="5"/>
  <c r="B15" i="5"/>
  <c r="B14" i="5"/>
  <c r="B13" i="5"/>
  <c r="L24" i="5"/>
  <c r="B15" i="14"/>
  <c r="B6" i="5"/>
  <c r="B5" i="5"/>
  <c r="B4" i="5"/>
  <c r="B33" i="3"/>
  <c r="E28" i="3"/>
  <c r="D28" i="3"/>
  <c r="F22" i="3"/>
  <c r="G22" i="3" s="1"/>
  <c r="H20" i="3"/>
  <c r="G18" i="3"/>
  <c r="F18" i="3"/>
  <c r="E18" i="3"/>
  <c r="F16" i="3"/>
  <c r="G16" i="3" s="1"/>
  <c r="E14" i="3"/>
  <c r="D14" i="3"/>
  <c r="B24" i="3" s="1"/>
  <c r="C14" i="3"/>
  <c r="F14" i="3" s="1"/>
  <c r="G14" i="3" s="1"/>
  <c r="B5" i="3"/>
  <c r="B4" i="3"/>
  <c r="B3" i="3"/>
  <c r="R53" i="53"/>
  <c r="J18" i="53"/>
  <c r="G18" i="53"/>
  <c r="F18" i="53"/>
  <c r="F21" i="53" s="1"/>
  <c r="B18" i="53"/>
  <c r="F12" i="53" s="1"/>
  <c r="J17" i="53"/>
  <c r="J11" i="53" s="1"/>
  <c r="F17" i="53"/>
  <c r="B17" i="53"/>
  <c r="B12" i="53"/>
  <c r="F13" i="53" s="1"/>
  <c r="B11" i="53"/>
  <c r="B10" i="53"/>
  <c r="E28" i="1" s="1"/>
  <c r="B9" i="53"/>
  <c r="O45" i="53" s="1"/>
  <c r="B8" i="53"/>
  <c r="B6" i="53"/>
  <c r="B5" i="53"/>
  <c r="B4" i="53"/>
  <c r="R57" i="1"/>
  <c r="H23" i="1"/>
  <c r="F14" i="1"/>
  <c r="B14" i="1"/>
  <c r="F15" i="1" s="1"/>
  <c r="B13" i="1"/>
  <c r="B12" i="1"/>
  <c r="E27" i="1" s="1"/>
  <c r="B6" i="1"/>
  <c r="B5" i="1"/>
  <c r="B4" i="1"/>
  <c r="B197" i="60"/>
  <c r="C197" i="60" s="1"/>
  <c r="D197" i="60" s="1"/>
  <c r="E197" i="60" s="1"/>
  <c r="F197" i="60" s="1"/>
  <c r="G197" i="60" s="1"/>
  <c r="H197" i="60" s="1"/>
  <c r="I197" i="60" s="1"/>
  <c r="J197" i="60" s="1"/>
  <c r="K197" i="60" s="1"/>
  <c r="L197" i="60" s="1"/>
  <c r="M197" i="60" s="1"/>
  <c r="N197" i="60" s="1"/>
  <c r="O197" i="60" s="1"/>
  <c r="P197" i="60" s="1"/>
  <c r="B175" i="60"/>
  <c r="C175" i="60" s="1"/>
  <c r="D175" i="60" s="1"/>
  <c r="E175" i="60" s="1"/>
  <c r="F175" i="60" s="1"/>
  <c r="G175" i="60" s="1"/>
  <c r="H175" i="60" s="1"/>
  <c r="I175" i="60" s="1"/>
  <c r="J175" i="60" s="1"/>
  <c r="K175" i="60" s="1"/>
  <c r="L175" i="60" s="1"/>
  <c r="M175" i="60" s="1"/>
  <c r="N175" i="60" s="1"/>
  <c r="O175" i="60" s="1"/>
  <c r="P175" i="60" s="1"/>
  <c r="Q175" i="60" s="1"/>
  <c r="R175" i="60" s="1"/>
  <c r="E24" i="41"/>
  <c r="E24" i="54"/>
  <c r="E65" i="44"/>
  <c r="E48" i="44"/>
  <c r="E39" i="44"/>
  <c r="E44" i="74"/>
  <c r="E65" i="67"/>
  <c r="E61" i="44"/>
  <c r="E38" i="71"/>
  <c r="B55" i="48"/>
  <c r="B48" i="43"/>
  <c r="P226" i="60"/>
  <c r="E61" i="63"/>
  <c r="B49" i="43"/>
  <c r="B50" i="68"/>
  <c r="E46" i="44"/>
  <c r="E47" i="44"/>
  <c r="Q225" i="60"/>
  <c r="E62" i="49"/>
  <c r="L10" i="50"/>
  <c r="E44" i="44"/>
  <c r="B49" i="61"/>
  <c r="P224" i="60"/>
  <c r="E61" i="67"/>
  <c r="B50" i="73"/>
  <c r="E63" i="74"/>
  <c r="B48" i="48"/>
  <c r="L10" i="64"/>
  <c r="B48" i="61"/>
  <c r="E37" i="44"/>
  <c r="E42" i="71"/>
  <c r="E57" i="49"/>
  <c r="R225" i="60"/>
  <c r="R224" i="60"/>
  <c r="E48" i="74"/>
  <c r="B33" i="49"/>
  <c r="E63" i="63"/>
  <c r="E54" i="44"/>
  <c r="Q226" i="60"/>
  <c r="B55" i="66"/>
  <c r="B53" i="61"/>
  <c r="B49" i="68"/>
  <c r="E62" i="71"/>
  <c r="E59" i="67"/>
  <c r="E35" i="44"/>
  <c r="B49" i="73"/>
  <c r="K226" i="60"/>
  <c r="B52" i="43"/>
  <c r="S224" i="60"/>
  <c r="S226" i="60"/>
  <c r="E35" i="49"/>
  <c r="E66" i="49"/>
  <c r="E66" i="44"/>
  <c r="P225" i="60"/>
  <c r="E44" i="49"/>
  <c r="E46" i="74"/>
  <c r="E48" i="49"/>
  <c r="E43" i="44"/>
  <c r="E57" i="74"/>
  <c r="E59" i="63"/>
  <c r="E47" i="49"/>
  <c r="E62" i="44"/>
  <c r="E45" i="44"/>
  <c r="Q224" i="60"/>
  <c r="S225" i="60"/>
  <c r="E69" i="67"/>
  <c r="E63" i="71"/>
  <c r="E47" i="74"/>
  <c r="B37" i="49"/>
  <c r="L5" i="54"/>
  <c r="E43" i="42"/>
  <c r="L14" i="51"/>
  <c r="E42" i="44"/>
  <c r="E35" i="71"/>
  <c r="E57" i="44"/>
  <c r="B53" i="43"/>
  <c r="B49" i="66"/>
  <c r="E50" i="49"/>
  <c r="E46" i="49"/>
  <c r="R226" i="60"/>
  <c r="E36" i="44"/>
  <c r="B53" i="66"/>
  <c r="E38" i="63"/>
  <c r="E50" i="44"/>
  <c r="E42" i="74"/>
  <c r="L14" i="56"/>
  <c r="E42" i="49"/>
  <c r="E65" i="63"/>
  <c r="E43" i="47"/>
  <c r="E62" i="74"/>
  <c r="E43" i="72"/>
  <c r="B42" i="22" l="1"/>
  <c r="B62" i="36"/>
  <c r="B63" i="36" s="1"/>
  <c r="DP24" i="48"/>
  <c r="BX25" i="48"/>
  <c r="EL27" i="48"/>
  <c r="BB28" i="48"/>
  <c r="CT28" i="48"/>
  <c r="BB27" i="43"/>
  <c r="BX27" i="43"/>
  <c r="B43" i="23"/>
  <c r="CI27" i="43"/>
  <c r="BM28" i="43"/>
  <c r="AQ22" i="48"/>
  <c r="AF23" i="48"/>
  <c r="J22" i="43"/>
  <c r="J23" i="43"/>
  <c r="BX28" i="43"/>
  <c r="AF22" i="48"/>
  <c r="CI24" i="48"/>
  <c r="CI28" i="43"/>
  <c r="DP29" i="43"/>
  <c r="AF23" i="43"/>
  <c r="BM24" i="43"/>
  <c r="DE24" i="48"/>
  <c r="CI27" i="48"/>
  <c r="CI28" i="48"/>
  <c r="FH28" i="48"/>
  <c r="DE27" i="43"/>
  <c r="J23" i="48"/>
  <c r="DE23" i="48"/>
  <c r="DE26" i="48"/>
  <c r="D16" i="23"/>
  <c r="D17" i="23" s="1"/>
  <c r="B39" i="23" s="1"/>
  <c r="B41" i="23" s="1"/>
  <c r="BB25" i="43"/>
  <c r="U23" i="48"/>
  <c r="DP23" i="48"/>
  <c r="BB24" i="48"/>
  <c r="AQ23" i="43"/>
  <c r="J22" i="48"/>
  <c r="CT24" i="48"/>
  <c r="CI25" i="48"/>
  <c r="BM27" i="48"/>
  <c r="DE27" i="48"/>
  <c r="EW27" i="48"/>
  <c r="GD29" i="48"/>
  <c r="B15" i="36"/>
  <c r="BX24" i="43"/>
  <c r="CI24" i="43"/>
  <c r="EA30" i="43"/>
  <c r="CT25" i="48"/>
  <c r="BM28" i="48"/>
  <c r="BM27" i="43"/>
  <c r="BX25" i="43"/>
  <c r="U22" i="48"/>
  <c r="BX24" i="48"/>
  <c r="BM25" i="48"/>
  <c r="BB24" i="43"/>
  <c r="BB28" i="43"/>
  <c r="DP26" i="48"/>
  <c r="BB27" i="48"/>
  <c r="CT27" i="48"/>
  <c r="FS28" i="48"/>
  <c r="EL28" i="48"/>
  <c r="EA29" i="43"/>
  <c r="AF22" i="43"/>
  <c r="U23" i="43"/>
  <c r="CI25" i="43"/>
  <c r="CT27" i="43"/>
  <c r="DE28" i="43"/>
  <c r="AQ23" i="48"/>
  <c r="BM24" i="48"/>
  <c r="BB25" i="48"/>
  <c r="BX27" i="48"/>
  <c r="DP27" i="48"/>
  <c r="D16" i="24"/>
  <c r="D17" i="24" s="1"/>
  <c r="B39" i="24" s="1"/>
  <c r="B41" i="24" s="1"/>
  <c r="L34" i="36"/>
  <c r="I22" i="5"/>
  <c r="B17" i="51"/>
  <c r="D79" i="51" s="1"/>
  <c r="B17" i="56"/>
  <c r="B17" i="41"/>
  <c r="K78" i="41" s="1"/>
  <c r="B17" i="54"/>
  <c r="O2" i="50"/>
  <c r="R2" i="50"/>
  <c r="O2" i="41"/>
  <c r="R2" i="41"/>
  <c r="O2" i="51"/>
  <c r="R2" i="51"/>
  <c r="D28" i="25"/>
  <c r="B43" i="25"/>
  <c r="S24" i="36"/>
  <c r="S25" i="36"/>
  <c r="L33" i="36"/>
  <c r="D30" i="22"/>
  <c r="B45" i="22"/>
  <c r="R14" i="36"/>
  <c r="R15" i="36" s="1"/>
  <c r="FS27" i="48"/>
  <c r="S54" i="36"/>
  <c r="E7" i="36"/>
  <c r="S23" i="36"/>
  <c r="R45" i="36"/>
  <c r="B59" i="36"/>
  <c r="B67" i="36" s="1"/>
  <c r="F23" i="36"/>
  <c r="AQ22" i="43"/>
  <c r="BM25" i="43"/>
  <c r="DP28" i="43"/>
  <c r="EA27" i="48"/>
  <c r="B43" i="24"/>
  <c r="B12" i="36"/>
  <c r="U22" i="43"/>
  <c r="CT28" i="43"/>
  <c r="BX28" i="48"/>
  <c r="D28" i="23"/>
  <c r="D28" i="24"/>
  <c r="R5" i="36"/>
  <c r="S5" i="36" s="1"/>
  <c r="EW28" i="48"/>
  <c r="DE32" i="48"/>
  <c r="D23" i="24"/>
  <c r="FH27" i="48"/>
  <c r="GD30" i="48"/>
  <c r="D16" i="25"/>
  <c r="D17" i="25" s="1"/>
  <c r="B39" i="25" s="1"/>
  <c r="B41" i="25" s="1"/>
  <c r="DE30" i="48"/>
  <c r="D23" i="25"/>
  <c r="V31" i="5"/>
  <c r="F25" i="5" s="1"/>
  <c r="W30" i="5"/>
  <c r="O35" i="5"/>
  <c r="N31" i="5"/>
  <c r="O35" i="6"/>
  <c r="N31" i="6"/>
  <c r="V31" i="6"/>
  <c r="F25" i="6" s="1"/>
  <c r="W30" i="6"/>
  <c r="S54" i="5"/>
  <c r="L25" i="5"/>
  <c r="S55" i="5"/>
  <c r="E25" i="56"/>
  <c r="D10" i="72"/>
  <c r="P12" i="74"/>
  <c r="F12" i="74"/>
  <c r="ED41" i="73"/>
  <c r="CL38" i="73"/>
  <c r="DS41" i="73"/>
  <c r="CA38" i="73"/>
  <c r="AI36" i="73"/>
  <c r="BP38" i="73"/>
  <c r="CW41" i="73"/>
  <c r="B36" i="73"/>
  <c r="DH41" i="73"/>
  <c r="BE38" i="73"/>
  <c r="M36" i="73"/>
  <c r="AT38" i="73"/>
  <c r="X36" i="73"/>
  <c r="EE41" i="73"/>
  <c r="CM38" i="73"/>
  <c r="DT41" i="73"/>
  <c r="CB38" i="73"/>
  <c r="AJ36" i="73"/>
  <c r="DI41" i="73"/>
  <c r="BQ38" i="73"/>
  <c r="Y36" i="73"/>
  <c r="CX41" i="73"/>
  <c r="C36" i="73"/>
  <c r="AU38" i="73"/>
  <c r="N36" i="73"/>
  <c r="BF38" i="73"/>
  <c r="E15" i="51"/>
  <c r="F12" i="71"/>
  <c r="P12" i="71"/>
  <c r="DT41" i="68"/>
  <c r="AJ36" i="68"/>
  <c r="EE41" i="68"/>
  <c r="AU38" i="68"/>
  <c r="CB38" i="68"/>
  <c r="DI41" i="68"/>
  <c r="Y36" i="68"/>
  <c r="BQ38" i="68"/>
  <c r="C36" i="68"/>
  <c r="CX41" i="68"/>
  <c r="N36" i="68"/>
  <c r="BF38" i="68"/>
  <c r="CM38" i="68"/>
  <c r="BP38" i="68"/>
  <c r="B36" i="68"/>
  <c r="CA38" i="68"/>
  <c r="X36" i="68"/>
  <c r="BE38" i="68"/>
  <c r="CW41" i="68"/>
  <c r="M36" i="68"/>
  <c r="ED41" i="68"/>
  <c r="AT38" i="68"/>
  <c r="DH41" i="68"/>
  <c r="CL38" i="68"/>
  <c r="DS41" i="68"/>
  <c r="AI36" i="68"/>
  <c r="F15" i="51"/>
  <c r="D21" i="23"/>
  <c r="D23" i="23" s="1"/>
  <c r="F19" i="56"/>
  <c r="O2" i="56" s="1"/>
  <c r="D23" i="22"/>
  <c r="D25" i="22" s="1"/>
  <c r="D14" i="56"/>
  <c r="F20" i="56"/>
  <c r="R2" i="56" s="1"/>
  <c r="B58" i="1"/>
  <c r="F12" i="1" s="1"/>
  <c r="F13" i="1" s="1"/>
  <c r="D20" i="56"/>
  <c r="E13" i="15"/>
  <c r="D12" i="67"/>
  <c r="C14" i="67"/>
  <c r="C16" i="67"/>
  <c r="N12" i="67"/>
  <c r="M14" i="67"/>
  <c r="M16" i="67"/>
  <c r="AM27" i="66"/>
  <c r="AN27" i="66" s="1"/>
  <c r="AO27" i="66" s="1"/>
  <c r="AQ27" i="66" s="1"/>
  <c r="AX33" i="66"/>
  <c r="AY33" i="66" s="1"/>
  <c r="AZ33" i="66" s="1"/>
  <c r="BB33" i="66" s="1"/>
  <c r="AB27" i="66"/>
  <c r="AC27" i="66" s="1"/>
  <c r="AD27" i="66" s="1"/>
  <c r="AF27" i="66" s="1"/>
  <c r="CP33" i="66"/>
  <c r="CQ33" i="66" s="1"/>
  <c r="CR33" i="66" s="1"/>
  <c r="CT33" i="66" s="1"/>
  <c r="CE33" i="66"/>
  <c r="CF33" i="66" s="1"/>
  <c r="CG33" i="66" s="1"/>
  <c r="CI33" i="66" s="1"/>
  <c r="Q27" i="66"/>
  <c r="R27" i="66" s="1"/>
  <c r="S27" i="66" s="1"/>
  <c r="U27" i="66" s="1"/>
  <c r="DL32" i="66"/>
  <c r="DM32" i="66" s="1"/>
  <c r="DN32" i="66" s="1"/>
  <c r="DP32" i="66" s="1"/>
  <c r="BI33" i="66"/>
  <c r="BJ33" i="66" s="1"/>
  <c r="BK33" i="66" s="1"/>
  <c r="BM33" i="66" s="1"/>
  <c r="F27" i="66"/>
  <c r="G27" i="66" s="1"/>
  <c r="H27" i="66" s="1"/>
  <c r="J27" i="66" s="1"/>
  <c r="BT33" i="66"/>
  <c r="BU33" i="66" s="1"/>
  <c r="BV33" i="66" s="1"/>
  <c r="BX33" i="66" s="1"/>
  <c r="FK41" i="66"/>
  <c r="M36" i="66"/>
  <c r="EZ41" i="66"/>
  <c r="B36" i="66"/>
  <c r="ED41" i="66"/>
  <c r="CA40" i="66"/>
  <c r="X36" i="66"/>
  <c r="CW41" i="66"/>
  <c r="FV41" i="66"/>
  <c r="EO41" i="66"/>
  <c r="AT40" i="66"/>
  <c r="AI36" i="66"/>
  <c r="CL38" i="66"/>
  <c r="DS41" i="66"/>
  <c r="BP40" i="66"/>
  <c r="DH41" i="66"/>
  <c r="BE40" i="66"/>
  <c r="DW41" i="66"/>
  <c r="BT40" i="66"/>
  <c r="CP38" i="66"/>
  <c r="DL41" i="66"/>
  <c r="BI40" i="66"/>
  <c r="FZ41" i="66"/>
  <c r="AB36" i="66"/>
  <c r="ES41" i="66"/>
  <c r="F36" i="66"/>
  <c r="FD41" i="66"/>
  <c r="Q36" i="66"/>
  <c r="EH41" i="66"/>
  <c r="CE40" i="66"/>
  <c r="DA41" i="66"/>
  <c r="AX40" i="66"/>
  <c r="FO41" i="66"/>
  <c r="AM36" i="66"/>
  <c r="V55" i="6"/>
  <c r="V56" i="6" s="1"/>
  <c r="E25" i="50"/>
  <c r="E13" i="18"/>
  <c r="H24" i="50"/>
  <c r="I24" i="50" s="1"/>
  <c r="L7" i="63"/>
  <c r="B7" i="63"/>
  <c r="B3" i="63"/>
  <c r="L3" i="63"/>
  <c r="B12" i="63"/>
  <c r="N12" i="63"/>
  <c r="BT33" i="48"/>
  <c r="BU33" i="48" s="1"/>
  <c r="BV33" i="48" s="1"/>
  <c r="F27" i="48"/>
  <c r="G27" i="48" s="1"/>
  <c r="H27" i="48" s="1"/>
  <c r="CP33" i="48"/>
  <c r="CQ33" i="48" s="1"/>
  <c r="CR33" i="48" s="1"/>
  <c r="AX33" i="48"/>
  <c r="AY33" i="48" s="1"/>
  <c r="AZ33" i="48" s="1"/>
  <c r="BI33" i="48"/>
  <c r="BJ33" i="48" s="1"/>
  <c r="BK33" i="48" s="1"/>
  <c r="AM27" i="48"/>
  <c r="AN27" i="48" s="1"/>
  <c r="AO27" i="48" s="1"/>
  <c r="AB27" i="48"/>
  <c r="AC27" i="48" s="1"/>
  <c r="AD27" i="48" s="1"/>
  <c r="DL32" i="48"/>
  <c r="DM32" i="48" s="1"/>
  <c r="DN32" i="48" s="1"/>
  <c r="CE33" i="48"/>
  <c r="CF33" i="48" s="1"/>
  <c r="CG33" i="48" s="1"/>
  <c r="Q27" i="48"/>
  <c r="R27" i="48" s="1"/>
  <c r="S27" i="48" s="1"/>
  <c r="D33" i="14"/>
  <c r="D32" i="14"/>
  <c r="B22" i="14"/>
  <c r="L33" i="14" s="1"/>
  <c r="B21" i="14"/>
  <c r="B19" i="14"/>
  <c r="B18" i="14"/>
  <c r="P12" i="5"/>
  <c r="V55" i="5"/>
  <c r="V56" i="5" s="1"/>
  <c r="P2" i="5"/>
  <c r="E13" i="11"/>
  <c r="B20" i="11"/>
  <c r="E11" i="11" s="1"/>
  <c r="N51" i="53"/>
  <c r="E13" i="19"/>
  <c r="O48" i="53"/>
  <c r="B54" i="53"/>
  <c r="F10" i="53" s="1"/>
  <c r="D21" i="24"/>
  <c r="D22" i="24" s="1"/>
  <c r="E13" i="10"/>
  <c r="D18" i="22"/>
  <c r="D19" i="22" s="1"/>
  <c r="E11" i="10"/>
  <c r="E9" i="10" s="1"/>
  <c r="E10" i="10" s="1"/>
  <c r="N48" i="5"/>
  <c r="N49" i="5" s="1"/>
  <c r="B25" i="6"/>
  <c r="B15" i="10"/>
  <c r="D33" i="10" s="1"/>
  <c r="C34" i="5"/>
  <c r="B27" i="5"/>
  <c r="B29" i="5"/>
  <c r="B33" i="5"/>
  <c r="B59" i="5"/>
  <c r="B25" i="5"/>
  <c r="S56" i="5" s="1"/>
  <c r="B26" i="5"/>
  <c r="C33" i="5"/>
  <c r="B28" i="5"/>
  <c r="B34" i="5"/>
  <c r="B60" i="5"/>
  <c r="B35" i="5"/>
  <c r="B15" i="18"/>
  <c r="O38" i="5"/>
  <c r="N48" i="6"/>
  <c r="N49" i="6" s="1"/>
  <c r="O38" i="6"/>
  <c r="O49" i="1"/>
  <c r="O51" i="1" s="1"/>
  <c r="E15" i="54"/>
  <c r="J22" i="53"/>
  <c r="K79" i="41"/>
  <c r="G79" i="41" s="1"/>
  <c r="B24" i="41"/>
  <c r="E25" i="41"/>
  <c r="K79" i="54"/>
  <c r="B24" i="54"/>
  <c r="F14" i="53"/>
  <c r="O47" i="53"/>
  <c r="D21" i="25"/>
  <c r="D22" i="25" s="1"/>
  <c r="L24" i="6"/>
  <c r="S55" i="6"/>
  <c r="S54" i="6"/>
  <c r="E3" i="49"/>
  <c r="AY31" i="48"/>
  <c r="AZ31" i="48" s="1"/>
  <c r="CF31" i="48"/>
  <c r="CG31" i="48" s="1"/>
  <c r="DH41" i="61"/>
  <c r="BP38" i="61"/>
  <c r="M36" i="61"/>
  <c r="CW41" i="61"/>
  <c r="BE38" i="61"/>
  <c r="B36" i="61"/>
  <c r="AI36" i="61"/>
  <c r="X36" i="61"/>
  <c r="AT38" i="61"/>
  <c r="CL38" i="61"/>
  <c r="DS41" i="61"/>
  <c r="CA38" i="61"/>
  <c r="DH41" i="43"/>
  <c r="CL38" i="43"/>
  <c r="BP38" i="43"/>
  <c r="AT38" i="43"/>
  <c r="X36" i="43"/>
  <c r="M36" i="43"/>
  <c r="DS41" i="43"/>
  <c r="CA38" i="43"/>
  <c r="CW41" i="43"/>
  <c r="B36" i="43"/>
  <c r="BE38" i="43"/>
  <c r="AI36" i="43"/>
  <c r="FR41" i="48"/>
  <c r="BW40" i="48"/>
  <c r="EV36" i="48"/>
  <c r="EW36" i="48" s="1"/>
  <c r="AP36" i="48"/>
  <c r="FG34" i="48"/>
  <c r="FH34" i="48" s="1"/>
  <c r="CS31" i="48"/>
  <c r="T27" i="48"/>
  <c r="AP25" i="48"/>
  <c r="FR22" i="48"/>
  <c r="FS22" i="48" s="1"/>
  <c r="BA22" i="48"/>
  <c r="BB22" i="48" s="1"/>
  <c r="BL21" i="48"/>
  <c r="BM21" i="48" s="1"/>
  <c r="DD20" i="48"/>
  <c r="DE20" i="48" s="1"/>
  <c r="EV19" i="48"/>
  <c r="EW19" i="48" s="1"/>
  <c r="AE19" i="48"/>
  <c r="AF19" i="48" s="1"/>
  <c r="CH18" i="48"/>
  <c r="CI18" i="48" s="1"/>
  <c r="DZ17" i="48"/>
  <c r="EA17" i="48" s="1"/>
  <c r="FR16" i="48"/>
  <c r="FS16" i="48" s="1"/>
  <c r="BA16" i="48"/>
  <c r="BB16" i="48" s="1"/>
  <c r="DZ15" i="48"/>
  <c r="EA15" i="48" s="1"/>
  <c r="GC14" i="48"/>
  <c r="GD14" i="48" s="1"/>
  <c r="AP14" i="48"/>
  <c r="AQ14" i="48" s="1"/>
  <c r="EK13" i="48"/>
  <c r="EL13" i="48" s="1"/>
  <c r="T13" i="48"/>
  <c r="U13" i="48" s="1"/>
  <c r="FR12" i="48"/>
  <c r="FS12" i="48" s="1"/>
  <c r="DZ12" i="48"/>
  <c r="EA12" i="48" s="1"/>
  <c r="AE11" i="48"/>
  <c r="AF11" i="48" s="1"/>
  <c r="AP10" i="48"/>
  <c r="AQ10" i="48" s="1"/>
  <c r="GC9" i="48"/>
  <c r="GD9" i="48" s="1"/>
  <c r="BL9" i="48"/>
  <c r="BM9" i="48" s="1"/>
  <c r="DO8" i="48"/>
  <c r="DP8" i="48" s="1"/>
  <c r="CH8" i="48"/>
  <c r="CI8" i="48" s="1"/>
  <c r="AP8" i="48"/>
  <c r="AQ8" i="48" s="1"/>
  <c r="FG7" i="48"/>
  <c r="FH7" i="48" s="1"/>
  <c r="EK41" i="48"/>
  <c r="I36" i="48"/>
  <c r="CH33" i="48"/>
  <c r="BL31" i="48"/>
  <c r="GC25" i="48"/>
  <c r="GD25" i="48" s="1"/>
  <c r="I25" i="48"/>
  <c r="FG23" i="48"/>
  <c r="FH23" i="48" s="1"/>
  <c r="EK22" i="48"/>
  <c r="EL22" i="48" s="1"/>
  <c r="DO21" i="48"/>
  <c r="DP21" i="48" s="1"/>
  <c r="FG20" i="48"/>
  <c r="FH20" i="48" s="1"/>
  <c r="T20" i="48"/>
  <c r="U20" i="48" s="1"/>
  <c r="CH19" i="48"/>
  <c r="CI19" i="48" s="1"/>
  <c r="GC18" i="48"/>
  <c r="GD18" i="48" s="1"/>
  <c r="BA18" i="48"/>
  <c r="BB18" i="48" s="1"/>
  <c r="AP17" i="48"/>
  <c r="AQ17" i="48" s="1"/>
  <c r="EK16" i="48"/>
  <c r="EL16" i="48" s="1"/>
  <c r="T16" i="48"/>
  <c r="U16" i="48" s="1"/>
  <c r="CS15" i="48"/>
  <c r="CT15" i="48" s="1"/>
  <c r="EV14" i="48"/>
  <c r="EW14" i="48" s="1"/>
  <c r="I14" i="48"/>
  <c r="J14" i="48" s="1"/>
  <c r="BW13" i="48"/>
  <c r="BX13" i="48" s="1"/>
  <c r="CS12" i="48"/>
  <c r="CT12" i="48" s="1"/>
  <c r="BA12" i="48"/>
  <c r="BB12" i="48" s="1"/>
  <c r="EV11" i="48"/>
  <c r="EW11" i="48" s="1"/>
  <c r="DD11" i="48"/>
  <c r="DE11" i="48" s="1"/>
  <c r="BL11" i="48"/>
  <c r="BM11" i="48" s="1"/>
  <c r="DZ10" i="48"/>
  <c r="EA10" i="48" s="1"/>
  <c r="EV9" i="48"/>
  <c r="EW9" i="48" s="1"/>
  <c r="FR8" i="48"/>
  <c r="FS8" i="48" s="1"/>
  <c r="I8" i="48"/>
  <c r="J8" i="48" s="1"/>
  <c r="DO7" i="48"/>
  <c r="DP7" i="48" s="1"/>
  <c r="BW7" i="48"/>
  <c r="BX7" i="48" s="1"/>
  <c r="AE7" i="48"/>
  <c r="AF7" i="48" s="1"/>
  <c r="FR6" i="48"/>
  <c r="FS6" i="48" s="1"/>
  <c r="DZ6" i="48"/>
  <c r="EA6" i="48" s="1"/>
  <c r="DD41" i="48"/>
  <c r="GC36" i="48"/>
  <c r="GD36" i="48" s="1"/>
  <c r="EK36" i="48"/>
  <c r="EL36" i="48" s="1"/>
  <c r="EV34" i="48"/>
  <c r="EW34" i="48" s="1"/>
  <c r="BA33" i="48"/>
  <c r="AP27" i="48"/>
  <c r="DZ23" i="48"/>
  <c r="EA23" i="48" s="1"/>
  <c r="BW22" i="48"/>
  <c r="BX22" i="48" s="1"/>
  <c r="CH21" i="48"/>
  <c r="CI21" i="48" s="1"/>
  <c r="DZ20" i="48"/>
  <c r="EA20" i="48" s="1"/>
  <c r="FR19" i="48"/>
  <c r="FS19" i="48" s="1"/>
  <c r="BA19" i="48"/>
  <c r="BB19" i="48" s="1"/>
  <c r="DD18" i="48"/>
  <c r="DE18" i="48" s="1"/>
  <c r="EV17" i="48"/>
  <c r="EW17" i="48" s="1"/>
  <c r="I17" i="48"/>
  <c r="J17" i="48" s="1"/>
  <c r="BW16" i="48"/>
  <c r="BX16" i="48" s="1"/>
  <c r="FR15" i="48"/>
  <c r="FS15" i="48" s="1"/>
  <c r="BL15" i="48"/>
  <c r="BM15" i="48" s="1"/>
  <c r="DO14" i="48"/>
  <c r="DP14" i="48" s="1"/>
  <c r="FG13" i="48"/>
  <c r="FH13" i="48" s="1"/>
  <c r="AP13" i="48"/>
  <c r="AQ13" i="48" s="1"/>
  <c r="FG12" i="48"/>
  <c r="FH12" i="48" s="1"/>
  <c r="AE10" i="48"/>
  <c r="AF10" i="48" s="1"/>
  <c r="CH9" i="48"/>
  <c r="CI9" i="48" s="1"/>
  <c r="EK8" i="48"/>
  <c r="EL8" i="48" s="1"/>
  <c r="BW8" i="48"/>
  <c r="BX8" i="48" s="1"/>
  <c r="FG41" i="48"/>
  <c r="BL40" i="48"/>
  <c r="CS38" i="48"/>
  <c r="AE36" i="48"/>
  <c r="CH31" i="48"/>
  <c r="DZ30" i="48"/>
  <c r="EA30" i="48" s="1"/>
  <c r="I27" i="48"/>
  <c r="AE25" i="48"/>
  <c r="FG22" i="48"/>
  <c r="FH22" i="48" s="1"/>
  <c r="GC21" i="48"/>
  <c r="GD21" i="48" s="1"/>
  <c r="BA21" i="48"/>
  <c r="BB21" i="48" s="1"/>
  <c r="AP20" i="48"/>
  <c r="AQ20" i="48" s="1"/>
  <c r="EK19" i="48"/>
  <c r="EL19" i="48" s="1"/>
  <c r="T19" i="48"/>
  <c r="U19" i="48" s="1"/>
  <c r="BW18" i="48"/>
  <c r="BX18" i="48" s="1"/>
  <c r="DO17" i="48"/>
  <c r="DP17" i="48" s="1"/>
  <c r="FG16" i="48"/>
  <c r="FH16" i="48" s="1"/>
  <c r="AP16" i="48"/>
  <c r="AQ16" i="48" s="1"/>
  <c r="DO15" i="48"/>
  <c r="DP15" i="48" s="1"/>
  <c r="FR14" i="48"/>
  <c r="FS14" i="48" s="1"/>
  <c r="AE14" i="48"/>
  <c r="AF14" i="48" s="1"/>
  <c r="CS13" i="48"/>
  <c r="CT13" i="48" s="1"/>
  <c r="BA40" i="48"/>
  <c r="DO32" i="48"/>
  <c r="EV22" i="48"/>
  <c r="EW22" i="48" s="1"/>
  <c r="CH22" i="48"/>
  <c r="CI22" i="48" s="1"/>
  <c r="FR20" i="48"/>
  <c r="FS20" i="48" s="1"/>
  <c r="EK20" i="48"/>
  <c r="EL20" i="48" s="1"/>
  <c r="CS19" i="48"/>
  <c r="CT19" i="48" s="1"/>
  <c r="BL19" i="48"/>
  <c r="BM19" i="48" s="1"/>
  <c r="BL18" i="48"/>
  <c r="BM18" i="48" s="1"/>
  <c r="FG17" i="48"/>
  <c r="FH17" i="48" s="1"/>
  <c r="EV16" i="48"/>
  <c r="EW16" i="48" s="1"/>
  <c r="CH16" i="48"/>
  <c r="CI16" i="48" s="1"/>
  <c r="DD15" i="48"/>
  <c r="DE15" i="48" s="1"/>
  <c r="BW15" i="48"/>
  <c r="BX15" i="48" s="1"/>
  <c r="T14" i="48"/>
  <c r="U14" i="48" s="1"/>
  <c r="FR13" i="48"/>
  <c r="FS13" i="48" s="1"/>
  <c r="EK11" i="48"/>
  <c r="EL11" i="48" s="1"/>
  <c r="AP11" i="48"/>
  <c r="AQ11" i="48" s="1"/>
  <c r="I11" i="48"/>
  <c r="J11" i="48" s="1"/>
  <c r="FR9" i="48"/>
  <c r="FS9" i="48" s="1"/>
  <c r="EK9" i="48"/>
  <c r="EL9" i="48" s="1"/>
  <c r="BW9" i="48"/>
  <c r="BX9" i="48" s="1"/>
  <c r="GC8" i="48"/>
  <c r="GD8" i="48" s="1"/>
  <c r="EV8" i="48"/>
  <c r="EW8" i="48" s="1"/>
  <c r="CH7" i="48"/>
  <c r="CI7" i="48" s="1"/>
  <c r="DO6" i="48"/>
  <c r="DP6" i="48" s="1"/>
  <c r="DO41" i="48"/>
  <c r="GC34" i="48"/>
  <c r="GD34" i="48" s="1"/>
  <c r="CS33" i="48"/>
  <c r="BL33" i="48"/>
  <c r="AE27" i="48"/>
  <c r="EV23" i="48"/>
  <c r="EW23" i="48" s="1"/>
  <c r="GC22" i="48"/>
  <c r="GD22" i="48" s="1"/>
  <c r="DD21" i="48"/>
  <c r="DE21" i="48" s="1"/>
  <c r="BW21" i="48"/>
  <c r="BX21" i="48" s="1"/>
  <c r="I20" i="48"/>
  <c r="J20" i="48" s="1"/>
  <c r="FG19" i="48"/>
  <c r="FH19" i="48" s="1"/>
  <c r="DZ18" i="48"/>
  <c r="EA18" i="48" s="1"/>
  <c r="CS18" i="48"/>
  <c r="CT18" i="48" s="1"/>
  <c r="AE17" i="48"/>
  <c r="AF17" i="48" s="1"/>
  <c r="GC16" i="48"/>
  <c r="GD16" i="48" s="1"/>
  <c r="I16" i="48"/>
  <c r="J16" i="48" s="1"/>
  <c r="FG15" i="48"/>
  <c r="FH15" i="48" s="1"/>
  <c r="EK14" i="48"/>
  <c r="EL14" i="48" s="1"/>
  <c r="DD14" i="48"/>
  <c r="DE14" i="48" s="1"/>
  <c r="BL13" i="48"/>
  <c r="BM13" i="48" s="1"/>
  <c r="AE13" i="48"/>
  <c r="AF13" i="48" s="1"/>
  <c r="GC12" i="48"/>
  <c r="GD12" i="48" s="1"/>
  <c r="GC11" i="48"/>
  <c r="GD11" i="48" s="1"/>
  <c r="CH11" i="48"/>
  <c r="CI11" i="48" s="1"/>
  <c r="BL8" i="48"/>
  <c r="BM8" i="48" s="1"/>
  <c r="FR7" i="48"/>
  <c r="FS7" i="48" s="1"/>
  <c r="DZ7" i="48"/>
  <c r="EA7" i="48" s="1"/>
  <c r="FG6" i="48"/>
  <c r="FH6" i="48" s="1"/>
  <c r="BA31" i="48"/>
  <c r="DO30" i="48"/>
  <c r="GC24" i="48"/>
  <c r="GD24" i="48" s="1"/>
  <c r="CH12" i="48"/>
  <c r="CI12" i="48" s="1"/>
  <c r="DZ11" i="48"/>
  <c r="EA11" i="48" s="1"/>
  <c r="T10" i="48"/>
  <c r="U10" i="48" s="1"/>
  <c r="DD8" i="48"/>
  <c r="DE8" i="48" s="1"/>
  <c r="T8" i="48"/>
  <c r="U8" i="48" s="1"/>
  <c r="T7" i="48"/>
  <c r="U7" i="48" s="1"/>
  <c r="DD6" i="48"/>
  <c r="DE6" i="48" s="1"/>
  <c r="DZ41" i="48"/>
  <c r="BW33" i="48"/>
  <c r="DZ32" i="48"/>
  <c r="EA32" i="48" s="1"/>
  <c r="I13" i="48"/>
  <c r="J13" i="48" s="1"/>
  <c r="DD12" i="48"/>
  <c r="DE12" i="48" s="1"/>
  <c r="BL12" i="48"/>
  <c r="BM12" i="48" s="1"/>
  <c r="BA11" i="48"/>
  <c r="BB11" i="48" s="1"/>
  <c r="DD10" i="48"/>
  <c r="DE10" i="48" s="1"/>
  <c r="CS7" i="48"/>
  <c r="CT7" i="48" s="1"/>
  <c r="GC6" i="48"/>
  <c r="GD6" i="48" s="1"/>
  <c r="GC41" i="48"/>
  <c r="T36" i="48"/>
  <c r="EK34" i="48"/>
  <c r="EL34" i="48" s="1"/>
  <c r="EK12" i="48"/>
  <c r="EL12" i="48" s="1"/>
  <c r="CS11" i="48"/>
  <c r="CT11" i="48" s="1"/>
  <c r="AE8" i="48"/>
  <c r="AF8" i="48" s="1"/>
  <c r="GC7" i="48"/>
  <c r="GD7" i="48" s="1"/>
  <c r="EK7" i="48"/>
  <c r="EL7" i="48" s="1"/>
  <c r="FR23" i="48"/>
  <c r="FS23" i="48" s="1"/>
  <c r="AE20" i="48"/>
  <c r="AF20" i="48" s="1"/>
  <c r="DD17" i="48"/>
  <c r="DE17" i="48" s="1"/>
  <c r="FG14" i="48"/>
  <c r="FH14" i="48" s="1"/>
  <c r="FG9" i="48"/>
  <c r="FH9" i="48" s="1"/>
  <c r="BA9" i="48"/>
  <c r="BB9" i="48" s="1"/>
  <c r="EV7" i="48"/>
  <c r="EW7" i="48" s="1"/>
  <c r="FR36" i="48"/>
  <c r="FS36" i="48" s="1"/>
  <c r="AP19" i="48"/>
  <c r="AQ19" i="48" s="1"/>
  <c r="BW19" i="48"/>
  <c r="BX19" i="48" s="1"/>
  <c r="DO12" i="48"/>
  <c r="DP12" i="48" s="1"/>
  <c r="BW11" i="48"/>
  <c r="BX11" i="48" s="1"/>
  <c r="CH40" i="48"/>
  <c r="FR34" i="48"/>
  <c r="FS34" i="48" s="1"/>
  <c r="DZ24" i="48"/>
  <c r="EA24" i="48" s="1"/>
  <c r="DO20" i="48"/>
  <c r="DP20" i="48" s="1"/>
  <c r="EK17" i="48"/>
  <c r="EL17" i="48" s="1"/>
  <c r="BA15" i="48"/>
  <c r="BB15" i="48" s="1"/>
  <c r="EV12" i="48"/>
  <c r="EW12" i="48" s="1"/>
  <c r="DO11" i="48"/>
  <c r="DP11" i="48" s="1"/>
  <c r="EK6" i="48"/>
  <c r="EL6" i="48" s="1"/>
  <c r="DZ21" i="48"/>
  <c r="EA21" i="48" s="1"/>
  <c r="I19" i="48"/>
  <c r="J19" i="48" s="1"/>
  <c r="AE16" i="48"/>
  <c r="AF16" i="48" s="1"/>
  <c r="CH13" i="48"/>
  <c r="CI13" i="48" s="1"/>
  <c r="FG11" i="48"/>
  <c r="FH11" i="48" s="1"/>
  <c r="DO10" i="48"/>
  <c r="DP10" i="48" s="1"/>
  <c r="BA7" i="48"/>
  <c r="BB7" i="48" s="1"/>
  <c r="BL22" i="48"/>
  <c r="BM22" i="48" s="1"/>
  <c r="BL16" i="48"/>
  <c r="BM16" i="48" s="1"/>
  <c r="BW12" i="48"/>
  <c r="BX12" i="48" s="1"/>
  <c r="CS8" i="48"/>
  <c r="CT8" i="48" s="1"/>
  <c r="T11" i="48"/>
  <c r="U11" i="48" s="1"/>
  <c r="AP7" i="48"/>
  <c r="AQ7" i="48" s="1"/>
  <c r="CS9" i="48"/>
  <c r="CT9" i="48" s="1"/>
  <c r="T25" i="48"/>
  <c r="EV20" i="48"/>
  <c r="EW20" i="48" s="1"/>
  <c r="FR17" i="48"/>
  <c r="FS17" i="48" s="1"/>
  <c r="CH15" i="48"/>
  <c r="CI15" i="48" s="1"/>
  <c r="FR11" i="48"/>
  <c r="FS11" i="48" s="1"/>
  <c r="I10" i="48"/>
  <c r="J10" i="48" s="1"/>
  <c r="BA8" i="48"/>
  <c r="BB8" i="48" s="1"/>
  <c r="BL7" i="48"/>
  <c r="BM7" i="48" s="1"/>
  <c r="I7" i="48"/>
  <c r="J7" i="48" s="1"/>
  <c r="BW31" i="48"/>
  <c r="EV13" i="48"/>
  <c r="EW13" i="48" s="1"/>
  <c r="DZ8" i="48"/>
  <c r="EA8" i="48" s="1"/>
  <c r="T17" i="48"/>
  <c r="U17" i="48" s="1"/>
  <c r="CS21" i="48"/>
  <c r="CT21" i="48" s="1"/>
  <c r="DO18" i="48"/>
  <c r="DP18" i="48" s="1"/>
  <c r="GC15" i="48"/>
  <c r="GD15" i="48" s="1"/>
  <c r="BA13" i="48"/>
  <c r="BB13" i="48" s="1"/>
  <c r="DD7" i="48"/>
  <c r="DE7" i="48" s="1"/>
  <c r="CS22" i="48"/>
  <c r="CT22" i="48" s="1"/>
  <c r="CS16" i="48"/>
  <c r="CT16" i="48" s="1"/>
  <c r="GC13" i="48"/>
  <c r="GD13" i="48" s="1"/>
  <c r="EV41" i="48"/>
  <c r="FG36" i="48"/>
  <c r="FH36" i="48" s="1"/>
  <c r="EK23" i="48"/>
  <c r="EL23" i="48" s="1"/>
  <c r="GC19" i="48"/>
  <c r="GD19" i="48" s="1"/>
  <c r="DZ14" i="48"/>
  <c r="EA14" i="48" s="1"/>
  <c r="FG8" i="48"/>
  <c r="FH8" i="48" s="1"/>
  <c r="EV6" i="48"/>
  <c r="EW6" i="48" s="1"/>
  <c r="DW41" i="61"/>
  <c r="CE38" i="61"/>
  <c r="AB36" i="61"/>
  <c r="DL41" i="61"/>
  <c r="BT38" i="61"/>
  <c r="Q36" i="61"/>
  <c r="CP38" i="61"/>
  <c r="DA41" i="61"/>
  <c r="AX38" i="61"/>
  <c r="AM36" i="61"/>
  <c r="BI38" i="61"/>
  <c r="F36" i="61"/>
  <c r="DL41" i="43"/>
  <c r="CP38" i="43"/>
  <c r="BT38" i="43"/>
  <c r="AX38" i="43"/>
  <c r="AB36" i="43"/>
  <c r="F36" i="43"/>
  <c r="CE38" i="43"/>
  <c r="Q36" i="43"/>
  <c r="AM36" i="43"/>
  <c r="DW41" i="43"/>
  <c r="DA41" i="43"/>
  <c r="BI38" i="43"/>
  <c r="DZ41" i="61"/>
  <c r="CH38" i="61"/>
  <c r="AE36" i="61"/>
  <c r="CS25" i="61"/>
  <c r="CT25" i="61" s="1"/>
  <c r="DO24" i="61"/>
  <c r="DP24" i="61" s="1"/>
  <c r="DO23" i="61"/>
  <c r="DP23" i="61" s="1"/>
  <c r="DZ22" i="61"/>
  <c r="EA22" i="61" s="1"/>
  <c r="CS22" i="61"/>
  <c r="CT22" i="61" s="1"/>
  <c r="BW22" i="61"/>
  <c r="BX22" i="61" s="1"/>
  <c r="BA22" i="61"/>
  <c r="BB22" i="61" s="1"/>
  <c r="DO21" i="61"/>
  <c r="DP21" i="61" s="1"/>
  <c r="CH21" i="61"/>
  <c r="CI21" i="61" s="1"/>
  <c r="BL21" i="61"/>
  <c r="BM21" i="61" s="1"/>
  <c r="DO20" i="61"/>
  <c r="DP20" i="61" s="1"/>
  <c r="AP20" i="61"/>
  <c r="AQ20" i="61" s="1"/>
  <c r="T20" i="61"/>
  <c r="U20" i="61" s="1"/>
  <c r="DZ19" i="61"/>
  <c r="EA19" i="61" s="1"/>
  <c r="CS19" i="61"/>
  <c r="CT19" i="61" s="1"/>
  <c r="BW19" i="61"/>
  <c r="BX19" i="61" s="1"/>
  <c r="BA19" i="61"/>
  <c r="BB19" i="61" s="1"/>
  <c r="AE19" i="61"/>
  <c r="AF19" i="61" s="1"/>
  <c r="I19" i="61"/>
  <c r="J19" i="61" s="1"/>
  <c r="DO18" i="61"/>
  <c r="DP18" i="61" s="1"/>
  <c r="CH18" i="61"/>
  <c r="CI18" i="61" s="1"/>
  <c r="BL18" i="61"/>
  <c r="BM18" i="61" s="1"/>
  <c r="DO17" i="61"/>
  <c r="DP17" i="61" s="1"/>
  <c r="AP17" i="61"/>
  <c r="AQ17" i="61" s="1"/>
  <c r="T17" i="61"/>
  <c r="U17" i="61" s="1"/>
  <c r="DZ16" i="61"/>
  <c r="EA16" i="61" s="1"/>
  <c r="CS16" i="61"/>
  <c r="CT16" i="61" s="1"/>
  <c r="BW16" i="61"/>
  <c r="BX16" i="61" s="1"/>
  <c r="BA16" i="61"/>
  <c r="BB16" i="61" s="1"/>
  <c r="AE16" i="61"/>
  <c r="AF16" i="61" s="1"/>
  <c r="I16" i="61"/>
  <c r="J16" i="61" s="1"/>
  <c r="DO15" i="61"/>
  <c r="DP15" i="61" s="1"/>
  <c r="CH15" i="61"/>
  <c r="CI15" i="61" s="1"/>
  <c r="BL15" i="61"/>
  <c r="BM15" i="61" s="1"/>
  <c r="DZ14" i="61"/>
  <c r="EA14" i="61" s="1"/>
  <c r="DD14" i="61"/>
  <c r="DE14" i="61" s="1"/>
  <c r="AE14" i="61"/>
  <c r="AF14" i="61" s="1"/>
  <c r="I14" i="61"/>
  <c r="J14" i="61" s="1"/>
  <c r="DO13" i="61"/>
  <c r="DP13" i="61" s="1"/>
  <c r="CS13" i="61"/>
  <c r="CT13" i="61" s="1"/>
  <c r="BA12" i="61"/>
  <c r="BB12" i="61" s="1"/>
  <c r="BA11" i="61"/>
  <c r="BB11" i="61" s="1"/>
  <c r="DD7" i="61"/>
  <c r="DE7" i="61" s="1"/>
  <c r="DO41" i="61"/>
  <c r="BW38" i="61"/>
  <c r="T36" i="61"/>
  <c r="BW13" i="61"/>
  <c r="BX13" i="61" s="1"/>
  <c r="BA13" i="61"/>
  <c r="BB13" i="61" s="1"/>
  <c r="AE13" i="61"/>
  <c r="AF13" i="61" s="1"/>
  <c r="I13" i="61"/>
  <c r="J13" i="61" s="1"/>
  <c r="CH12" i="61"/>
  <c r="CI12" i="61" s="1"/>
  <c r="BA38" i="61"/>
  <c r="BL12" i="61"/>
  <c r="BM12" i="61" s="1"/>
  <c r="BL11" i="61"/>
  <c r="BM11" i="61" s="1"/>
  <c r="DZ25" i="61"/>
  <c r="EA25" i="61" s="1"/>
  <c r="DZ24" i="61"/>
  <c r="EA24" i="61" s="1"/>
  <c r="CS24" i="61"/>
  <c r="CT24" i="61" s="1"/>
  <c r="DD23" i="61"/>
  <c r="DE23" i="61" s="1"/>
  <c r="DD22" i="61"/>
  <c r="DE22" i="61" s="1"/>
  <c r="CH22" i="61"/>
  <c r="CI22" i="61" s="1"/>
  <c r="BL22" i="61"/>
  <c r="BM22" i="61" s="1"/>
  <c r="DZ21" i="61"/>
  <c r="EA21" i="61" s="1"/>
  <c r="CS21" i="61"/>
  <c r="CT21" i="61" s="1"/>
  <c r="BW21" i="61"/>
  <c r="BX21" i="61" s="1"/>
  <c r="BA21" i="61"/>
  <c r="BB21" i="61" s="1"/>
  <c r="DD20" i="61"/>
  <c r="DE20" i="61" s="1"/>
  <c r="AE20" i="61"/>
  <c r="AF20" i="61" s="1"/>
  <c r="I20" i="61"/>
  <c r="J20" i="61" s="1"/>
  <c r="DD19" i="61"/>
  <c r="DE19" i="61" s="1"/>
  <c r="CH19" i="61"/>
  <c r="CI19" i="61" s="1"/>
  <c r="BL19" i="61"/>
  <c r="BM19" i="61" s="1"/>
  <c r="AP19" i="61"/>
  <c r="AQ19" i="61" s="1"/>
  <c r="T19" i="61"/>
  <c r="U19" i="61" s="1"/>
  <c r="DZ18" i="61"/>
  <c r="EA18" i="61" s="1"/>
  <c r="CS18" i="61"/>
  <c r="CT18" i="61" s="1"/>
  <c r="BW18" i="61"/>
  <c r="BX18" i="61" s="1"/>
  <c r="BA18" i="61"/>
  <c r="BB18" i="61" s="1"/>
  <c r="DD17" i="61"/>
  <c r="DE17" i="61" s="1"/>
  <c r="AE17" i="61"/>
  <c r="AF17" i="61" s="1"/>
  <c r="I17" i="61"/>
  <c r="J17" i="61" s="1"/>
  <c r="DD16" i="61"/>
  <c r="DE16" i="61" s="1"/>
  <c r="CH16" i="61"/>
  <c r="CI16" i="61" s="1"/>
  <c r="BL16" i="61"/>
  <c r="BM16" i="61" s="1"/>
  <c r="AP16" i="61"/>
  <c r="AQ16" i="61" s="1"/>
  <c r="T16" i="61"/>
  <c r="U16" i="61" s="1"/>
  <c r="DZ15" i="61"/>
  <c r="EA15" i="61" s="1"/>
  <c r="CS15" i="61"/>
  <c r="CT15" i="61" s="1"/>
  <c r="BW15" i="61"/>
  <c r="BX15" i="61" s="1"/>
  <c r="BA15" i="61"/>
  <c r="BB15" i="61" s="1"/>
  <c r="DO14" i="61"/>
  <c r="DP14" i="61" s="1"/>
  <c r="AP14" i="61"/>
  <c r="AQ14" i="61" s="1"/>
  <c r="T14" i="61"/>
  <c r="U14" i="61" s="1"/>
  <c r="DZ13" i="61"/>
  <c r="EA13" i="61" s="1"/>
  <c r="DD13" i="61"/>
  <c r="DE13" i="61" s="1"/>
  <c r="CS12" i="61"/>
  <c r="CT12" i="61" s="1"/>
  <c r="CS11" i="61"/>
  <c r="CT11" i="61" s="1"/>
  <c r="I10" i="61"/>
  <c r="J10" i="61" s="1"/>
  <c r="BL8" i="61"/>
  <c r="BM8" i="61" s="1"/>
  <c r="BL7" i="61"/>
  <c r="BM7" i="61" s="1"/>
  <c r="DD41" i="61"/>
  <c r="DZ12" i="61"/>
  <c r="EA12" i="61" s="1"/>
  <c r="BW12" i="61"/>
  <c r="BX12" i="61" s="1"/>
  <c r="BL9" i="61"/>
  <c r="BM9" i="61" s="1"/>
  <c r="BW8" i="61"/>
  <c r="BX8" i="61" s="1"/>
  <c r="AE8" i="61"/>
  <c r="AF8" i="61" s="1"/>
  <c r="I8" i="61"/>
  <c r="J8" i="61" s="1"/>
  <c r="DO7" i="61"/>
  <c r="DP7" i="61" s="1"/>
  <c r="BA7" i="61"/>
  <c r="BB7" i="61" s="1"/>
  <c r="AE10" i="61"/>
  <c r="AF10" i="61" s="1"/>
  <c r="BL38" i="61"/>
  <c r="AP36" i="61"/>
  <c r="BL13" i="61"/>
  <c r="BM13" i="61" s="1"/>
  <c r="DD11" i="61"/>
  <c r="DE11" i="61" s="1"/>
  <c r="T11" i="61"/>
  <c r="U11" i="61" s="1"/>
  <c r="DO9" i="61"/>
  <c r="DP9" i="61" s="1"/>
  <c r="DO8" i="61"/>
  <c r="DP8" i="61" s="1"/>
  <c r="DZ6" i="61"/>
  <c r="EA6" i="61" s="1"/>
  <c r="AP11" i="61"/>
  <c r="AQ11" i="61" s="1"/>
  <c r="BA9" i="61"/>
  <c r="BB9" i="61" s="1"/>
  <c r="DZ11" i="61"/>
  <c r="EA11" i="61" s="1"/>
  <c r="BW11" i="61"/>
  <c r="BX11" i="61" s="1"/>
  <c r="CH9" i="61"/>
  <c r="CI9" i="61" s="1"/>
  <c r="AE7" i="61"/>
  <c r="AF7" i="61" s="1"/>
  <c r="T13" i="61"/>
  <c r="U13" i="61" s="1"/>
  <c r="CH7" i="61"/>
  <c r="CI7" i="61" s="1"/>
  <c r="DD6" i="61"/>
  <c r="DE6" i="61" s="1"/>
  <c r="CS38" i="61"/>
  <c r="DD12" i="61"/>
  <c r="DE12" i="61" s="1"/>
  <c r="DO11" i="61"/>
  <c r="DP11" i="61" s="1"/>
  <c r="I11" i="61"/>
  <c r="J11" i="61" s="1"/>
  <c r="T8" i="61"/>
  <c r="U8" i="61" s="1"/>
  <c r="AP7" i="61"/>
  <c r="AQ7" i="61" s="1"/>
  <c r="AP10" i="61"/>
  <c r="AQ10" i="61" s="1"/>
  <c r="AE11" i="61"/>
  <c r="AF11" i="61" s="1"/>
  <c r="CH11" i="61"/>
  <c r="CI11" i="61" s="1"/>
  <c r="CS9" i="61"/>
  <c r="CT9" i="61" s="1"/>
  <c r="CH13" i="61"/>
  <c r="CI13" i="61" s="1"/>
  <c r="AP13" i="61"/>
  <c r="AQ13" i="61" s="1"/>
  <c r="DZ9" i="61"/>
  <c r="EA9" i="61" s="1"/>
  <c r="CS8" i="61"/>
  <c r="CT8" i="61" s="1"/>
  <c r="AP8" i="61"/>
  <c r="AQ8" i="61" s="1"/>
  <c r="BW7" i="61"/>
  <c r="BX7" i="61" s="1"/>
  <c r="DZ8" i="61"/>
  <c r="EA8" i="61" s="1"/>
  <c r="DO12" i="61"/>
  <c r="DP12" i="61" s="1"/>
  <c r="BW9" i="61"/>
  <c r="BX9" i="61" s="1"/>
  <c r="DO6" i="61"/>
  <c r="DP6" i="61" s="1"/>
  <c r="I36" i="61"/>
  <c r="DD9" i="61"/>
  <c r="DE9" i="61" s="1"/>
  <c r="CH8" i="61"/>
  <c r="CI8" i="61" s="1"/>
  <c r="BA8" i="61"/>
  <c r="BB8" i="61" s="1"/>
  <c r="DZ7" i="61"/>
  <c r="EA7" i="61" s="1"/>
  <c r="CS7" i="61"/>
  <c r="CT7" i="61" s="1"/>
  <c r="T7" i="61"/>
  <c r="U7" i="61" s="1"/>
  <c r="T10" i="61"/>
  <c r="U10" i="61" s="1"/>
  <c r="DD8" i="61"/>
  <c r="DE8" i="61" s="1"/>
  <c r="I7" i="61"/>
  <c r="J7" i="61" s="1"/>
  <c r="D10" i="47"/>
  <c r="E26" i="3"/>
  <c r="B20" i="3"/>
  <c r="H22" i="3"/>
  <c r="H16" i="3"/>
  <c r="F16" i="1"/>
  <c r="M8" i="6"/>
  <c r="M18" i="19"/>
  <c r="F20" i="54"/>
  <c r="R2" i="54" s="1"/>
  <c r="D19" i="54"/>
  <c r="D10" i="42"/>
  <c r="F19" i="54"/>
  <c r="O2" i="54" s="1"/>
  <c r="O52" i="1"/>
  <c r="B28" i="3"/>
  <c r="C28" i="3"/>
  <c r="M18" i="18"/>
  <c r="AC25" i="48"/>
  <c r="AD25" i="48" s="1"/>
  <c r="H14" i="3"/>
  <c r="H18" i="3"/>
  <c r="V53" i="5"/>
  <c r="P2" i="6"/>
  <c r="K18" i="15"/>
  <c r="E11" i="19"/>
  <c r="AE10" i="43"/>
  <c r="AF10" i="43" s="1"/>
  <c r="V53" i="6"/>
  <c r="E11" i="15"/>
  <c r="E13" i="14"/>
  <c r="E11" i="18"/>
  <c r="E11" i="14"/>
  <c r="BJ31" i="48"/>
  <c r="BK31" i="48" s="1"/>
  <c r="BU31" i="48"/>
  <c r="BV31" i="48" s="1"/>
  <c r="AN25" i="48"/>
  <c r="AO25" i="48" s="1"/>
  <c r="CQ31" i="48"/>
  <c r="CR31" i="48" s="1"/>
  <c r="DM30" i="48"/>
  <c r="DN30" i="48" s="1"/>
  <c r="O3" i="49"/>
  <c r="P3" i="49" s="1"/>
  <c r="H29" i="47"/>
  <c r="R25" i="48"/>
  <c r="S25" i="48" s="1"/>
  <c r="G25" i="48"/>
  <c r="H25" i="48" s="1"/>
  <c r="CO38" i="43"/>
  <c r="CZ41" i="43"/>
  <c r="P36" i="43"/>
  <c r="AW38" i="43"/>
  <c r="CD38" i="43"/>
  <c r="DK41" i="43"/>
  <c r="AA36" i="43"/>
  <c r="BH38" i="43"/>
  <c r="E36" i="43"/>
  <c r="DV41" i="43"/>
  <c r="AL36" i="43"/>
  <c r="BS38" i="43"/>
  <c r="D14" i="54"/>
  <c r="D20" i="54"/>
  <c r="DD13" i="43"/>
  <c r="DE13" i="43" s="1"/>
  <c r="DZ15" i="43"/>
  <c r="EA15" i="43" s="1"/>
  <c r="DD6" i="43"/>
  <c r="DE6" i="43" s="1"/>
  <c r="BA11" i="43"/>
  <c r="BB11" i="43" s="1"/>
  <c r="DZ11" i="43"/>
  <c r="EA11" i="43" s="1"/>
  <c r="DO12" i="43"/>
  <c r="DP12" i="43" s="1"/>
  <c r="DO14" i="43"/>
  <c r="DP14" i="43" s="1"/>
  <c r="T36" i="43"/>
  <c r="CH8" i="43"/>
  <c r="CI8" i="43" s="1"/>
  <c r="CH16" i="43"/>
  <c r="CI16" i="43" s="1"/>
  <c r="DD8" i="43"/>
  <c r="DE8" i="43" s="1"/>
  <c r="CS38" i="43"/>
  <c r="DZ6" i="43"/>
  <c r="EA6" i="43" s="1"/>
  <c r="BW7" i="43"/>
  <c r="BX7" i="43" s="1"/>
  <c r="BL8" i="43"/>
  <c r="BM8" i="43" s="1"/>
  <c r="BL9" i="43"/>
  <c r="BM9" i="43" s="1"/>
  <c r="DD9" i="43"/>
  <c r="DE9" i="43" s="1"/>
  <c r="DD41" i="43"/>
  <c r="BW38" i="43"/>
  <c r="AE8" i="43"/>
  <c r="AF8" i="43" s="1"/>
  <c r="I8" i="43"/>
  <c r="J8" i="43" s="1"/>
  <c r="CS25" i="43"/>
  <c r="CT25" i="43" s="1"/>
  <c r="DO24" i="43"/>
  <c r="DP24" i="43" s="1"/>
  <c r="DO23" i="43"/>
  <c r="DP23" i="43" s="1"/>
  <c r="DZ22" i="43"/>
  <c r="EA22" i="43" s="1"/>
  <c r="CS22" i="43"/>
  <c r="CT22" i="43" s="1"/>
  <c r="BW22" i="43"/>
  <c r="BX22" i="43" s="1"/>
  <c r="BA22" i="43"/>
  <c r="BB22" i="43" s="1"/>
  <c r="DO21" i="43"/>
  <c r="DP21" i="43" s="1"/>
  <c r="CH21" i="43"/>
  <c r="CI21" i="43" s="1"/>
  <c r="BL21" i="43"/>
  <c r="BM21" i="43" s="1"/>
  <c r="DO20" i="43"/>
  <c r="DP20" i="43" s="1"/>
  <c r="AP20" i="43"/>
  <c r="AQ20" i="43" s="1"/>
  <c r="T20" i="43"/>
  <c r="U20" i="43" s="1"/>
  <c r="DZ19" i="43"/>
  <c r="EA19" i="43" s="1"/>
  <c r="CS19" i="43"/>
  <c r="CT19" i="43" s="1"/>
  <c r="BW19" i="43"/>
  <c r="BX19" i="43" s="1"/>
  <c r="BA19" i="43"/>
  <c r="BB19" i="43" s="1"/>
  <c r="AE19" i="43"/>
  <c r="AF19" i="43" s="1"/>
  <c r="I19" i="43"/>
  <c r="J19" i="43" s="1"/>
  <c r="DO18" i="43"/>
  <c r="DP18" i="43" s="1"/>
  <c r="CH18" i="43"/>
  <c r="CI18" i="43" s="1"/>
  <c r="BL18" i="43"/>
  <c r="BM18" i="43" s="1"/>
  <c r="DO17" i="43"/>
  <c r="DP17" i="43" s="1"/>
  <c r="AP17" i="43"/>
  <c r="AQ17" i="43" s="1"/>
  <c r="T17" i="43"/>
  <c r="U17" i="43" s="1"/>
  <c r="DZ16" i="43"/>
  <c r="EA16" i="43" s="1"/>
  <c r="CS16" i="43"/>
  <c r="CT16" i="43" s="1"/>
  <c r="BW16" i="43"/>
  <c r="BX16" i="43" s="1"/>
  <c r="BA16" i="43"/>
  <c r="BB16" i="43" s="1"/>
  <c r="AE16" i="43"/>
  <c r="AF16" i="43" s="1"/>
  <c r="I16" i="43"/>
  <c r="J16" i="43" s="1"/>
  <c r="DO15" i="43"/>
  <c r="DP15" i="43" s="1"/>
  <c r="CH15" i="43"/>
  <c r="CI15" i="43" s="1"/>
  <c r="BL15" i="43"/>
  <c r="BM15" i="43" s="1"/>
  <c r="DZ14" i="43"/>
  <c r="EA14" i="43" s="1"/>
  <c r="DD14" i="43"/>
  <c r="DE14" i="43" s="1"/>
  <c r="AE14" i="43"/>
  <c r="AF14" i="43" s="1"/>
  <c r="I14" i="43"/>
  <c r="J14" i="43" s="1"/>
  <c r="DO13" i="43"/>
  <c r="DP13" i="43" s="1"/>
  <c r="CS13" i="43"/>
  <c r="CT13" i="43" s="1"/>
  <c r="DD12" i="43"/>
  <c r="DE12" i="43" s="1"/>
  <c r="BL12" i="43"/>
  <c r="BM12" i="43" s="1"/>
  <c r="DD11" i="43"/>
  <c r="DE11" i="43" s="1"/>
  <c r="BL11" i="43"/>
  <c r="BM11" i="43" s="1"/>
  <c r="T10" i="43"/>
  <c r="U10" i="43" s="1"/>
  <c r="CS8" i="43"/>
  <c r="CT8" i="43" s="1"/>
  <c r="BA8" i="43"/>
  <c r="BB8" i="43" s="1"/>
  <c r="CS7" i="43"/>
  <c r="CT7" i="43" s="1"/>
  <c r="BA7" i="43"/>
  <c r="BB7" i="43" s="1"/>
  <c r="I7" i="43"/>
  <c r="J7" i="43" s="1"/>
  <c r="DO41" i="43"/>
  <c r="AE36" i="43"/>
  <c r="BW13" i="43"/>
  <c r="BX13" i="43" s="1"/>
  <c r="BA13" i="43"/>
  <c r="BB13" i="43" s="1"/>
  <c r="AE13" i="43"/>
  <c r="AF13" i="43" s="1"/>
  <c r="I13" i="43"/>
  <c r="J13" i="43" s="1"/>
  <c r="AE11" i="43"/>
  <c r="AF11" i="43" s="1"/>
  <c r="I11" i="43"/>
  <c r="J11" i="43" s="1"/>
  <c r="DO9" i="43"/>
  <c r="DP9" i="43" s="1"/>
  <c r="CS9" i="43"/>
  <c r="CT9" i="43" s="1"/>
  <c r="BW9" i="43"/>
  <c r="BX9" i="43" s="1"/>
  <c r="BA9" i="43"/>
  <c r="BB9" i="43" s="1"/>
  <c r="DO8" i="43"/>
  <c r="DP8" i="43" s="1"/>
  <c r="BA38" i="43"/>
  <c r="AP8" i="43"/>
  <c r="AQ8" i="43" s="1"/>
  <c r="T8" i="43"/>
  <c r="U8" i="43" s="1"/>
  <c r="DZ41" i="43"/>
  <c r="AP36" i="43"/>
  <c r="I36" i="43"/>
  <c r="DZ25" i="43"/>
  <c r="EA25" i="43" s="1"/>
  <c r="DZ24" i="43"/>
  <c r="EA24" i="43" s="1"/>
  <c r="CS24" i="43"/>
  <c r="CT24" i="43" s="1"/>
  <c r="DD23" i="43"/>
  <c r="DE23" i="43" s="1"/>
  <c r="DD22" i="43"/>
  <c r="DE22" i="43" s="1"/>
  <c r="CH22" i="43"/>
  <c r="CI22" i="43" s="1"/>
  <c r="BL22" i="43"/>
  <c r="BM22" i="43" s="1"/>
  <c r="DZ21" i="43"/>
  <c r="EA21" i="43" s="1"/>
  <c r="CS21" i="43"/>
  <c r="CT21" i="43" s="1"/>
  <c r="BW21" i="43"/>
  <c r="BX21" i="43" s="1"/>
  <c r="BA21" i="43"/>
  <c r="BB21" i="43" s="1"/>
  <c r="DD20" i="43"/>
  <c r="DE20" i="43" s="1"/>
  <c r="AE20" i="43"/>
  <c r="AF20" i="43" s="1"/>
  <c r="I20" i="43"/>
  <c r="J20" i="43" s="1"/>
  <c r="DD19" i="43"/>
  <c r="DE19" i="43" s="1"/>
  <c r="CH19" i="43"/>
  <c r="CI19" i="43" s="1"/>
  <c r="BL19" i="43"/>
  <c r="BM19" i="43" s="1"/>
  <c r="AP19" i="43"/>
  <c r="AQ19" i="43" s="1"/>
  <c r="T19" i="43"/>
  <c r="U19" i="43" s="1"/>
  <c r="DZ18" i="43"/>
  <c r="EA18" i="43" s="1"/>
  <c r="CS18" i="43"/>
  <c r="CT18" i="43" s="1"/>
  <c r="BW18" i="43"/>
  <c r="BX18" i="43" s="1"/>
  <c r="BA18" i="43"/>
  <c r="BB18" i="43" s="1"/>
  <c r="DD17" i="43"/>
  <c r="DE17" i="43" s="1"/>
  <c r="AE17" i="43"/>
  <c r="AF17" i="43" s="1"/>
  <c r="I17" i="43"/>
  <c r="J17" i="43" s="1"/>
  <c r="AE7" i="43"/>
  <c r="AF7" i="43" s="1"/>
  <c r="DZ7" i="43"/>
  <c r="EA7" i="43" s="1"/>
  <c r="I10" i="43"/>
  <c r="J10" i="43" s="1"/>
  <c r="AP11" i="43"/>
  <c r="AQ11" i="43" s="1"/>
  <c r="CH11" i="43"/>
  <c r="CI11" i="43" s="1"/>
  <c r="CS12" i="43"/>
  <c r="CT12" i="43" s="1"/>
  <c r="AP13" i="43"/>
  <c r="AQ13" i="43" s="1"/>
  <c r="DZ13" i="43"/>
  <c r="EA13" i="43" s="1"/>
  <c r="T16" i="43"/>
  <c r="U16" i="43" s="1"/>
  <c r="DO6" i="43"/>
  <c r="DP6" i="43" s="1"/>
  <c r="CH7" i="43"/>
  <c r="CI7" i="43" s="1"/>
  <c r="BW8" i="43"/>
  <c r="BX8" i="43" s="1"/>
  <c r="CH9" i="43"/>
  <c r="CI9" i="43" s="1"/>
  <c r="BA12" i="43"/>
  <c r="BB12" i="43" s="1"/>
  <c r="BW15" i="43"/>
  <c r="BX15" i="43" s="1"/>
  <c r="AP7" i="43"/>
  <c r="AQ7" i="43" s="1"/>
  <c r="T11" i="43"/>
  <c r="U11" i="43" s="1"/>
  <c r="CS11" i="43"/>
  <c r="CT11" i="43" s="1"/>
  <c r="T13" i="43"/>
  <c r="U13" i="43" s="1"/>
  <c r="AP14" i="43"/>
  <c r="AQ14" i="43" s="1"/>
  <c r="BL16" i="43"/>
  <c r="BM16" i="43" s="1"/>
  <c r="DD7" i="43"/>
  <c r="DE7" i="43" s="1"/>
  <c r="CH13" i="43"/>
  <c r="CI13" i="43" s="1"/>
  <c r="DD16" i="43"/>
  <c r="DE16" i="43" s="1"/>
  <c r="BL7" i="43"/>
  <c r="BM7" i="43" s="1"/>
  <c r="DZ8" i="43"/>
  <c r="EA8" i="43" s="1"/>
  <c r="DZ9" i="43"/>
  <c r="EA9" i="43" s="1"/>
  <c r="AP10" i="43"/>
  <c r="AQ10" i="43" s="1"/>
  <c r="DO11" i="43"/>
  <c r="DP11" i="43" s="1"/>
  <c r="DZ12" i="43"/>
  <c r="EA12" i="43" s="1"/>
  <c r="T14" i="43"/>
  <c r="U14" i="43" s="1"/>
  <c r="AP16" i="43"/>
  <c r="AQ16" i="43" s="1"/>
  <c r="BL38" i="43"/>
  <c r="BW12" i="43"/>
  <c r="BX12" i="43" s="1"/>
  <c r="BA15" i="43"/>
  <c r="BB15" i="43" s="1"/>
  <c r="T7" i="43"/>
  <c r="U7" i="43" s="1"/>
  <c r="DO7" i="43"/>
  <c r="DP7" i="43" s="1"/>
  <c r="BW11" i="43"/>
  <c r="BX11" i="43" s="1"/>
  <c r="CH12" i="43"/>
  <c r="CI12" i="43" s="1"/>
  <c r="BL13" i="43"/>
  <c r="BM13" i="43" s="1"/>
  <c r="CS15" i="43"/>
  <c r="CT15" i="43" s="1"/>
  <c r="CH38" i="43"/>
  <c r="M8" i="5"/>
  <c r="H21" i="53"/>
  <c r="C3" i="44"/>
  <c r="M3" i="44"/>
  <c r="E38" i="49"/>
  <c r="E58" i="71"/>
  <c r="E60" i="71"/>
  <c r="B104" i="64"/>
  <c r="E38" i="44"/>
  <c r="B102" i="64"/>
  <c r="E60" i="44"/>
  <c r="B53" i="73"/>
  <c r="N225" i="60"/>
  <c r="E66" i="71"/>
  <c r="E62" i="63"/>
  <c r="E60" i="49"/>
  <c r="B105" i="64"/>
  <c r="B103" i="64"/>
  <c r="L3" i="64"/>
  <c r="E45" i="62"/>
  <c r="L6" i="54"/>
  <c r="L3" i="50"/>
  <c r="B49" i="48"/>
  <c r="L11" i="50"/>
  <c r="B52" i="68"/>
  <c r="B52" i="73"/>
  <c r="L15" i="51"/>
  <c r="E58" i="74"/>
  <c r="E40" i="67"/>
  <c r="E40" i="44"/>
  <c r="L11" i="64"/>
  <c r="E65" i="74"/>
  <c r="E58" i="44"/>
  <c r="E58" i="49"/>
  <c r="E65" i="71"/>
  <c r="E65" i="49"/>
  <c r="L7" i="2"/>
  <c r="E40" i="63"/>
  <c r="E62" i="67"/>
  <c r="B42" i="65"/>
  <c r="B53" i="68"/>
  <c r="L15" i="56"/>
  <c r="L4" i="41"/>
  <c r="E66" i="74"/>
  <c r="E55" i="63"/>
  <c r="N7" i="2"/>
  <c r="B52" i="61"/>
  <c r="B41" i="22" l="1"/>
  <c r="C41" i="22" s="1"/>
  <c r="D79" i="56"/>
  <c r="E9" i="15"/>
  <c r="E10" i="15" s="1"/>
  <c r="G14" i="5"/>
  <c r="G23" i="36"/>
  <c r="B61" i="36"/>
  <c r="B64" i="36" s="1"/>
  <c r="B65" i="36" s="1"/>
  <c r="B27" i="36"/>
  <c r="C12" i="36"/>
  <c r="B23" i="36"/>
  <c r="S45" i="36"/>
  <c r="S14" i="36"/>
  <c r="R16" i="36"/>
  <c r="S16" i="36" s="1"/>
  <c r="S15" i="36"/>
  <c r="O34" i="6"/>
  <c r="N34" i="6"/>
  <c r="M34" i="6"/>
  <c r="F24" i="6"/>
  <c r="V30" i="6"/>
  <c r="F24" i="5"/>
  <c r="V30" i="5"/>
  <c r="O34" i="5"/>
  <c r="N34" i="5"/>
  <c r="M34" i="5"/>
  <c r="S57" i="5"/>
  <c r="D24" i="22"/>
  <c r="D22" i="23"/>
  <c r="G12" i="74"/>
  <c r="Q12" i="74"/>
  <c r="DK41" i="73"/>
  <c r="DN41" i="73" s="1"/>
  <c r="BS38" i="73"/>
  <c r="BV38" i="73" s="1"/>
  <c r="AA36" i="73"/>
  <c r="AD36" i="73" s="1"/>
  <c r="CZ41" i="73"/>
  <c r="DC41" i="73" s="1"/>
  <c r="BH38" i="73"/>
  <c r="BK38" i="73" s="1"/>
  <c r="P36" i="73"/>
  <c r="S36" i="73" s="1"/>
  <c r="AW38" i="73"/>
  <c r="AZ38" i="73" s="1"/>
  <c r="E36" i="73"/>
  <c r="EG41" i="73"/>
  <c r="EJ41" i="73" s="1"/>
  <c r="CO38" i="73"/>
  <c r="CR38" i="73" s="1"/>
  <c r="CD38" i="73"/>
  <c r="CG38" i="73" s="1"/>
  <c r="AL36" i="73"/>
  <c r="AO36" i="73" s="1"/>
  <c r="DV41" i="73"/>
  <c r="DA41" i="73"/>
  <c r="BI38" i="73"/>
  <c r="Q36" i="73"/>
  <c r="AX38" i="73"/>
  <c r="F36" i="73"/>
  <c r="DW41" i="73"/>
  <c r="CE38" i="73"/>
  <c r="AM36" i="73"/>
  <c r="DL41" i="73"/>
  <c r="CP38" i="73"/>
  <c r="AB36" i="73"/>
  <c r="BT38" i="73"/>
  <c r="EH41" i="73"/>
  <c r="BS38" i="68"/>
  <c r="BV38" i="68" s="1"/>
  <c r="BX38" i="68" s="1"/>
  <c r="BP43" i="68" s="1"/>
  <c r="E36" i="68"/>
  <c r="H36" i="68" s="1"/>
  <c r="J36" i="68" s="1"/>
  <c r="B41" i="68" s="1"/>
  <c r="CD38" i="68"/>
  <c r="CG38" i="68" s="1"/>
  <c r="CI38" i="68" s="1"/>
  <c r="CA43" i="68" s="1"/>
  <c r="DK41" i="68"/>
  <c r="DN41" i="68" s="1"/>
  <c r="DP41" i="68" s="1"/>
  <c r="DH46" i="68" s="1"/>
  <c r="CZ41" i="68"/>
  <c r="DC41" i="68" s="1"/>
  <c r="DE41" i="68" s="1"/>
  <c r="CW46" i="68" s="1"/>
  <c r="P36" i="68"/>
  <c r="S36" i="68" s="1"/>
  <c r="U36" i="68" s="1"/>
  <c r="M41" i="68" s="1"/>
  <c r="BH38" i="68"/>
  <c r="BK38" i="68" s="1"/>
  <c r="BM38" i="68" s="1"/>
  <c r="BE43" i="68" s="1"/>
  <c r="AA36" i="68"/>
  <c r="AD36" i="68" s="1"/>
  <c r="AF36" i="68" s="1"/>
  <c r="X41" i="68" s="1"/>
  <c r="CO38" i="68"/>
  <c r="CR38" i="68" s="1"/>
  <c r="CT38" i="68" s="1"/>
  <c r="CL43" i="68" s="1"/>
  <c r="DV41" i="68"/>
  <c r="DY41" i="68" s="1"/>
  <c r="EA41" i="68" s="1"/>
  <c r="DS46" i="68" s="1"/>
  <c r="AL36" i="68"/>
  <c r="AO36" i="68" s="1"/>
  <c r="AQ36" i="68" s="1"/>
  <c r="AI41" i="68" s="1"/>
  <c r="EG41" i="68"/>
  <c r="EJ41" i="68" s="1"/>
  <c r="EL41" i="68" s="1"/>
  <c r="EE46" i="68" s="1"/>
  <c r="AW38" i="68"/>
  <c r="AZ38" i="68" s="1"/>
  <c r="BB38" i="68" s="1"/>
  <c r="AT43" i="68" s="1"/>
  <c r="L7" i="71"/>
  <c r="L3" i="71"/>
  <c r="B3" i="71"/>
  <c r="B7" i="71"/>
  <c r="G12" i="71"/>
  <c r="Q12" i="71"/>
  <c r="E25" i="54"/>
  <c r="G79" i="54"/>
  <c r="DL41" i="68"/>
  <c r="AB36" i="68"/>
  <c r="DW41" i="68"/>
  <c r="AM36" i="68"/>
  <c r="BT38" i="68"/>
  <c r="BI38" i="68"/>
  <c r="CP38" i="68"/>
  <c r="Q36" i="68"/>
  <c r="EH41" i="68"/>
  <c r="AX38" i="68"/>
  <c r="F36" i="68"/>
  <c r="CE38" i="68"/>
  <c r="DA41" i="68"/>
  <c r="E25" i="51"/>
  <c r="G75" i="51"/>
  <c r="N25" i="6"/>
  <c r="O25" i="6" s="1"/>
  <c r="V50" i="6"/>
  <c r="B28" i="6"/>
  <c r="B60" i="6"/>
  <c r="B15" i="15"/>
  <c r="B21" i="15" s="1"/>
  <c r="B59" i="6"/>
  <c r="B26" i="6"/>
  <c r="P24" i="6" s="1"/>
  <c r="P31" i="6" s="1"/>
  <c r="B27" i="6"/>
  <c r="V17" i="6" s="1"/>
  <c r="B15" i="11"/>
  <c r="B18" i="11" s="1"/>
  <c r="B29" i="6"/>
  <c r="L12" i="6" s="1"/>
  <c r="N12" i="6" s="1"/>
  <c r="B15" i="19"/>
  <c r="D33" i="19" s="1"/>
  <c r="D14" i="67"/>
  <c r="E12" i="67"/>
  <c r="D16" i="67"/>
  <c r="N16" i="67"/>
  <c r="O12" i="67"/>
  <c r="N14" i="67"/>
  <c r="DC41" i="66"/>
  <c r="DE41" i="66" s="1"/>
  <c r="CW46" i="66" s="1"/>
  <c r="B74" i="64" s="1"/>
  <c r="DB41" i="66"/>
  <c r="AD36" i="66"/>
  <c r="AF36" i="66" s="1"/>
  <c r="X41" i="66" s="1"/>
  <c r="B66" i="64" s="1"/>
  <c r="AC36" i="66"/>
  <c r="DY41" i="66"/>
  <c r="EA41" i="66" s="1"/>
  <c r="DS46" i="66" s="1"/>
  <c r="B75" i="64" s="1"/>
  <c r="DX41" i="66"/>
  <c r="AO36" i="66"/>
  <c r="AQ36" i="66" s="1"/>
  <c r="AI41" i="66" s="1"/>
  <c r="B67" i="64" s="1"/>
  <c r="AN36" i="66"/>
  <c r="H36" i="66"/>
  <c r="J36" i="66" s="1"/>
  <c r="B41" i="66" s="1"/>
  <c r="B65" i="64" s="1"/>
  <c r="G36" i="66"/>
  <c r="O60" i="6"/>
  <c r="O50" i="6" s="1"/>
  <c r="AZ40" i="66"/>
  <c r="BB40" i="66" s="1"/>
  <c r="AT43" i="66" s="1"/>
  <c r="B68" i="64" s="1"/>
  <c r="AY40" i="66"/>
  <c r="FF41" i="66"/>
  <c r="FH41" i="66" s="1"/>
  <c r="EZ46" i="66" s="1"/>
  <c r="B78" i="64" s="1"/>
  <c r="FE41" i="66"/>
  <c r="DM41" i="66"/>
  <c r="DN41" i="66"/>
  <c r="DP41" i="66" s="1"/>
  <c r="DH46" i="66" s="1"/>
  <c r="B73" i="64" s="1"/>
  <c r="BU40" i="66"/>
  <c r="BV40" i="66"/>
  <c r="BX40" i="66" s="1"/>
  <c r="BP43" i="66" s="1"/>
  <c r="B70" i="64" s="1"/>
  <c r="EJ41" i="66"/>
  <c r="EL41" i="66" s="1"/>
  <c r="ED46" i="66" s="1"/>
  <c r="B76" i="64" s="1"/>
  <c r="EI41" i="66"/>
  <c r="EU41" i="66"/>
  <c r="EW41" i="66" s="1"/>
  <c r="EO46" i="66" s="1"/>
  <c r="B77" i="64" s="1"/>
  <c r="ET41" i="66"/>
  <c r="R36" i="66"/>
  <c r="S36" i="66"/>
  <c r="U36" i="66" s="1"/>
  <c r="M41" i="66" s="1"/>
  <c r="B64" i="64" s="1"/>
  <c r="S52" i="6"/>
  <c r="CF40" i="66"/>
  <c r="CG40" i="66"/>
  <c r="CI40" i="66" s="1"/>
  <c r="CA43" i="66" s="1"/>
  <c r="B71" i="64" s="1"/>
  <c r="CR38" i="66"/>
  <c r="CT38" i="66" s="1"/>
  <c r="CL43" i="66" s="1"/>
  <c r="B72" i="64" s="1"/>
  <c r="CQ38" i="66"/>
  <c r="BJ40" i="66"/>
  <c r="BK40" i="66"/>
  <c r="BM40" i="66" s="1"/>
  <c r="BE43" i="66" s="1"/>
  <c r="B69" i="64" s="1"/>
  <c r="GB41" i="66"/>
  <c r="GD41" i="66" s="1"/>
  <c r="FV46" i="66" s="1"/>
  <c r="B80" i="64" s="1"/>
  <c r="GA41" i="66"/>
  <c r="FP41" i="66"/>
  <c r="FQ41" i="66"/>
  <c r="FS41" i="66" s="1"/>
  <c r="FK46" i="66" s="1"/>
  <c r="B79" i="64" s="1"/>
  <c r="B17" i="65"/>
  <c r="K19" i="14"/>
  <c r="O31" i="5"/>
  <c r="I5" i="63"/>
  <c r="I7" i="63"/>
  <c r="M14" i="63"/>
  <c r="M16" i="63"/>
  <c r="B16" i="63"/>
  <c r="C12" i="63"/>
  <c r="B14" i="63"/>
  <c r="L5" i="63"/>
  <c r="M5" i="63"/>
  <c r="N5" i="63"/>
  <c r="O5" i="63"/>
  <c r="P5" i="63"/>
  <c r="Q5" i="63"/>
  <c r="R5" i="63"/>
  <c r="S5" i="63"/>
  <c r="B5" i="63"/>
  <c r="M7" i="63"/>
  <c r="C5" i="63"/>
  <c r="N7" i="63"/>
  <c r="C7" i="63"/>
  <c r="O7" i="63"/>
  <c r="D7" i="63"/>
  <c r="D5" i="63"/>
  <c r="P7" i="63"/>
  <c r="E7" i="63"/>
  <c r="E5" i="63"/>
  <c r="Q7" i="63"/>
  <c r="F5" i="63"/>
  <c r="R7" i="63"/>
  <c r="F7" i="63"/>
  <c r="G5" i="63"/>
  <c r="G7" i="63"/>
  <c r="S7" i="63"/>
  <c r="H7" i="63"/>
  <c r="L16" i="63"/>
  <c r="H5" i="63"/>
  <c r="L14" i="63"/>
  <c r="H83" i="50"/>
  <c r="N14" i="63"/>
  <c r="O12" i="63"/>
  <c r="N16" i="63"/>
  <c r="F10" i="62"/>
  <c r="D32" i="18"/>
  <c r="B19" i="18"/>
  <c r="B26" i="18" s="1"/>
  <c r="B18" i="18"/>
  <c r="D33" i="18"/>
  <c r="B22" i="18"/>
  <c r="L33" i="18" s="1"/>
  <c r="B21" i="18"/>
  <c r="S52" i="5"/>
  <c r="S53" i="5" s="1"/>
  <c r="P24" i="5"/>
  <c r="P31" i="5" s="1"/>
  <c r="V51" i="5"/>
  <c r="O60" i="5"/>
  <c r="O50" i="5" s="1"/>
  <c r="P25" i="6"/>
  <c r="N24" i="5"/>
  <c r="O24" i="5" s="1"/>
  <c r="P25" i="5"/>
  <c r="V50" i="5"/>
  <c r="V52" i="5"/>
  <c r="E12" i="10"/>
  <c r="H33" i="10" s="1"/>
  <c r="N60" i="5"/>
  <c r="N50" i="5" s="1"/>
  <c r="E9" i="19"/>
  <c r="E10" i="19" s="1"/>
  <c r="E12" i="14"/>
  <c r="B25" i="14" s="1"/>
  <c r="E9" i="14"/>
  <c r="E10" i="14" s="1"/>
  <c r="E9" i="18"/>
  <c r="E10" i="18" s="1"/>
  <c r="F20" i="53"/>
  <c r="F28" i="1" s="1"/>
  <c r="E9" i="11"/>
  <c r="E10" i="11" s="1"/>
  <c r="E12" i="11"/>
  <c r="V12" i="5"/>
  <c r="L12" i="5"/>
  <c r="N12" i="5" s="1"/>
  <c r="N15" i="5" s="1"/>
  <c r="O15" i="5" s="1"/>
  <c r="P15" i="5"/>
  <c r="O51" i="5"/>
  <c r="O54" i="5"/>
  <c r="N54" i="5"/>
  <c r="N51" i="5"/>
  <c r="B35" i="6"/>
  <c r="C33" i="6"/>
  <c r="B34" i="6"/>
  <c r="O51" i="6" s="1"/>
  <c r="B33" i="6"/>
  <c r="N51" i="6" s="1"/>
  <c r="C34" i="6"/>
  <c r="L28" i="5"/>
  <c r="U17" i="5"/>
  <c r="S17" i="5"/>
  <c r="V17" i="5"/>
  <c r="T17" i="5"/>
  <c r="F14" i="5"/>
  <c r="B21" i="10"/>
  <c r="B19" i="10"/>
  <c r="D32" i="10"/>
  <c r="B22" i="10"/>
  <c r="L33" i="10" s="1"/>
  <c r="B18" i="10"/>
  <c r="P38" i="5"/>
  <c r="N25" i="5"/>
  <c r="O25" i="5" s="1"/>
  <c r="K78" i="54"/>
  <c r="EZ41" i="48"/>
  <c r="ED41" i="48"/>
  <c r="DS41" i="48"/>
  <c r="BP40" i="48"/>
  <c r="CA40" i="48"/>
  <c r="AI36" i="48"/>
  <c r="M36" i="48"/>
  <c r="EO41" i="48"/>
  <c r="B36" i="48"/>
  <c r="FK41" i="48"/>
  <c r="BE40" i="48"/>
  <c r="CW41" i="48"/>
  <c r="FV41" i="48"/>
  <c r="DH41" i="48"/>
  <c r="CL38" i="48"/>
  <c r="AT40" i="48"/>
  <c r="X36" i="48"/>
  <c r="V51" i="6"/>
  <c r="V52" i="6"/>
  <c r="S56" i="6"/>
  <c r="AW38" i="61"/>
  <c r="AY38" i="61" s="1"/>
  <c r="BH38" i="61"/>
  <c r="BK38" i="61" s="1"/>
  <c r="BM38" i="61" s="1"/>
  <c r="BE43" i="61" s="1"/>
  <c r="B70" i="54" s="1"/>
  <c r="CO38" i="61"/>
  <c r="CR38" i="61" s="1"/>
  <c r="CT38" i="61" s="1"/>
  <c r="CL43" i="61" s="1"/>
  <c r="B73" i="54" s="1"/>
  <c r="CZ41" i="61"/>
  <c r="DB41" i="61" s="1"/>
  <c r="AL36" i="61"/>
  <c r="AO36" i="61" s="1"/>
  <c r="AQ36" i="61" s="1"/>
  <c r="AI41" i="61" s="1"/>
  <c r="B68" i="54" s="1"/>
  <c r="P36" i="61"/>
  <c r="S36" i="61" s="1"/>
  <c r="U36" i="61" s="1"/>
  <c r="M41" i="61" s="1"/>
  <c r="B65" i="54" s="1"/>
  <c r="DV41" i="61"/>
  <c r="DX41" i="61" s="1"/>
  <c r="CD38" i="61"/>
  <c r="CG38" i="61" s="1"/>
  <c r="CI38" i="61" s="1"/>
  <c r="CA43" i="61" s="1"/>
  <c r="B72" i="54" s="1"/>
  <c r="DK41" i="61"/>
  <c r="DM41" i="61" s="1"/>
  <c r="AA36" i="61"/>
  <c r="AD36" i="61" s="1"/>
  <c r="AF36" i="61" s="1"/>
  <c r="X41" i="61" s="1"/>
  <c r="B67" i="54" s="1"/>
  <c r="E36" i="61"/>
  <c r="G36" i="61" s="1"/>
  <c r="BS38" i="61"/>
  <c r="BU38" i="61" s="1"/>
  <c r="B23" i="1"/>
  <c r="F11" i="53"/>
  <c r="B21" i="53" s="1"/>
  <c r="E12" i="19"/>
  <c r="H33" i="19" s="1"/>
  <c r="G24" i="3"/>
  <c r="S57" i="6"/>
  <c r="U27" i="48"/>
  <c r="F3" i="49"/>
  <c r="DP32" i="48"/>
  <c r="J27" i="48"/>
  <c r="AF27" i="48"/>
  <c r="BK38" i="43"/>
  <c r="BM38" i="43" s="1"/>
  <c r="BE43" i="43" s="1"/>
  <c r="BV38" i="43"/>
  <c r="BX38" i="43" s="1"/>
  <c r="BP43" i="43" s="1"/>
  <c r="J25" i="48"/>
  <c r="AF25" i="48"/>
  <c r="H36" i="43"/>
  <c r="J36" i="43" s="1"/>
  <c r="B41" i="43" s="1"/>
  <c r="CR38" i="43"/>
  <c r="CT38" i="43" s="1"/>
  <c r="CL43" i="43" s="1"/>
  <c r="BX33" i="48"/>
  <c r="BB31" i="48"/>
  <c r="CI31" i="48"/>
  <c r="AZ38" i="43"/>
  <c r="BB38" i="43" s="1"/>
  <c r="AT43" i="43" s="1"/>
  <c r="AO36" i="43"/>
  <c r="AQ36" i="43" s="1"/>
  <c r="AI41" i="43" s="1"/>
  <c r="S36" i="43"/>
  <c r="U36" i="43" s="1"/>
  <c r="M41" i="43" s="1"/>
  <c r="DX41" i="43"/>
  <c r="AQ25" i="48"/>
  <c r="CT33" i="48"/>
  <c r="BM31" i="48"/>
  <c r="AC36" i="43"/>
  <c r="DC41" i="43"/>
  <c r="DE41" i="43" s="1"/>
  <c r="CW46" i="43" s="1"/>
  <c r="DN41" i="43"/>
  <c r="DP41" i="43" s="1"/>
  <c r="DH46" i="43" s="1"/>
  <c r="BB33" i="48"/>
  <c r="AQ27" i="48"/>
  <c r="L7" i="49"/>
  <c r="L3" i="49"/>
  <c r="B7" i="49"/>
  <c r="B3" i="49"/>
  <c r="C30" i="3"/>
  <c r="E30" i="3" s="1"/>
  <c r="B30" i="3"/>
  <c r="D30" i="3" s="1"/>
  <c r="CG38" i="43"/>
  <c r="CI38" i="43" s="1"/>
  <c r="CA43" i="43" s="1"/>
  <c r="CI33" i="48"/>
  <c r="E12" i="15"/>
  <c r="M1" i="6"/>
  <c r="M2" i="6" s="1"/>
  <c r="M7" i="6" s="1"/>
  <c r="CT31" i="48"/>
  <c r="E12" i="18"/>
  <c r="H33" i="18" s="1"/>
  <c r="U25" i="48"/>
  <c r="BX31" i="48"/>
  <c r="B26" i="14"/>
  <c r="C26" i="14" s="1"/>
  <c r="P1" i="6"/>
  <c r="R12" i="6" s="1"/>
  <c r="K38" i="14"/>
  <c r="J38" i="14"/>
  <c r="I38" i="14"/>
  <c r="L38" i="14"/>
  <c r="M1" i="5"/>
  <c r="M2" i="5" s="1"/>
  <c r="M7" i="5" s="1"/>
  <c r="DP30" i="48"/>
  <c r="BM33" i="48"/>
  <c r="B23" i="14"/>
  <c r="E18" i="14" s="1"/>
  <c r="H24" i="3"/>
  <c r="Q3" i="49"/>
  <c r="DB41" i="43"/>
  <c r="G36" i="43"/>
  <c r="CQ38" i="43"/>
  <c r="AN36" i="43"/>
  <c r="AD36" i="43"/>
  <c r="AF36" i="43" s="1"/>
  <c r="X41" i="43" s="1"/>
  <c r="AY38" i="43"/>
  <c r="BU38" i="43"/>
  <c r="R36" i="43"/>
  <c r="BJ38" i="43"/>
  <c r="N55" i="1"/>
  <c r="F22" i="1" s="1"/>
  <c r="F27" i="1" s="1"/>
  <c r="DY41" i="43"/>
  <c r="EA41" i="43" s="1"/>
  <c r="DS46" i="43" s="1"/>
  <c r="DM41" i="43"/>
  <c r="CF38" i="43"/>
  <c r="B7" i="44"/>
  <c r="B3" i="44"/>
  <c r="L7" i="44"/>
  <c r="L3" i="44"/>
  <c r="P1" i="5"/>
  <c r="R12" i="5" s="1"/>
  <c r="V18" i="5" s="1"/>
  <c r="N3" i="44"/>
  <c r="D3" i="44"/>
  <c r="E59" i="44"/>
  <c r="L3" i="51"/>
  <c r="B50" i="71"/>
  <c r="E55" i="71"/>
  <c r="B102" i="54"/>
  <c r="B52" i="74"/>
  <c r="L16" i="51"/>
  <c r="E45" i="69"/>
  <c r="L12" i="50"/>
  <c r="B104" i="41"/>
  <c r="B50" i="44"/>
  <c r="L16" i="56"/>
  <c r="E40" i="71"/>
  <c r="B102" i="41"/>
  <c r="E55" i="49"/>
  <c r="L3" i="41"/>
  <c r="B103" i="50"/>
  <c r="B103" i="51"/>
  <c r="E55" i="44"/>
  <c r="E59" i="74"/>
  <c r="B52" i="44"/>
  <c r="B103" i="54"/>
  <c r="L7" i="54"/>
  <c r="K9" i="2"/>
  <c r="B102" i="51"/>
  <c r="B51" i="71"/>
  <c r="B53" i="74"/>
  <c r="B105" i="54"/>
  <c r="B50" i="74"/>
  <c r="B104" i="50"/>
  <c r="B51" i="49"/>
  <c r="E59" i="49"/>
  <c r="B105" i="51"/>
  <c r="B51" i="74"/>
  <c r="B42" i="42"/>
  <c r="B50" i="49"/>
  <c r="B42" i="69"/>
  <c r="B42" i="62"/>
  <c r="B103" i="41"/>
  <c r="B104" i="51"/>
  <c r="E45" i="47"/>
  <c r="B53" i="49"/>
  <c r="B42" i="47"/>
  <c r="L5" i="41"/>
  <c r="E40" i="49"/>
  <c r="E45" i="42"/>
  <c r="B104" i="54"/>
  <c r="E59" i="71"/>
  <c r="B52" i="49"/>
  <c r="B102" i="50"/>
  <c r="B105" i="50"/>
  <c r="B105" i="41"/>
  <c r="B53" i="71"/>
  <c r="B51" i="44"/>
  <c r="B53" i="44"/>
  <c r="L3" i="54"/>
  <c r="B52" i="71"/>
  <c r="L12" i="64"/>
  <c r="B43" i="22" l="1"/>
  <c r="I14" i="5"/>
  <c r="B28" i="1"/>
  <c r="B27" i="1"/>
  <c r="K48" i="36"/>
  <c r="E8" i="36" s="1"/>
  <c r="H8" i="36" s="1"/>
  <c r="F8" i="36" s="1"/>
  <c r="K56" i="1"/>
  <c r="G14" i="6"/>
  <c r="L31" i="36"/>
  <c r="B25" i="36"/>
  <c r="B28" i="36" s="1"/>
  <c r="B29" i="36" s="1"/>
  <c r="E27" i="36"/>
  <c r="D27" i="36"/>
  <c r="C27" i="36"/>
  <c r="D25" i="36"/>
  <c r="E25" i="36"/>
  <c r="C25" i="36"/>
  <c r="F27" i="36"/>
  <c r="F25" i="36"/>
  <c r="G25" i="36"/>
  <c r="G27" i="36"/>
  <c r="H23" i="36"/>
  <c r="Q31" i="5"/>
  <c r="F27" i="5"/>
  <c r="D33" i="11"/>
  <c r="B64" i="51"/>
  <c r="B70" i="51"/>
  <c r="B72" i="51"/>
  <c r="B71" i="51"/>
  <c r="B69" i="51"/>
  <c r="B68" i="51"/>
  <c r="B67" i="51"/>
  <c r="B66" i="51"/>
  <c r="B21" i="11"/>
  <c r="D32" i="11"/>
  <c r="R12" i="74"/>
  <c r="DM41" i="73"/>
  <c r="B19" i="11"/>
  <c r="J38" i="11" s="1"/>
  <c r="P14" i="71"/>
  <c r="H12" i="74"/>
  <c r="EI41" i="73"/>
  <c r="DX41" i="73"/>
  <c r="CF38" i="73"/>
  <c r="CQ38" i="73"/>
  <c r="AC36" i="73"/>
  <c r="BU38" i="73"/>
  <c r="G36" i="73"/>
  <c r="AY38" i="73"/>
  <c r="DB41" i="73"/>
  <c r="H36" i="73"/>
  <c r="AN36" i="73"/>
  <c r="DY41" i="73"/>
  <c r="BJ38" i="73"/>
  <c r="R36" i="73"/>
  <c r="G36" i="68"/>
  <c r="DX41" i="68"/>
  <c r="EI41" i="68"/>
  <c r="DM41" i="68"/>
  <c r="CQ38" i="68"/>
  <c r="BU38" i="68"/>
  <c r="CF38" i="68"/>
  <c r="AY38" i="68"/>
  <c r="AC36" i="68"/>
  <c r="AN36" i="68"/>
  <c r="R36" i="68"/>
  <c r="B19" i="15"/>
  <c r="L38" i="15" s="1"/>
  <c r="BJ38" i="68"/>
  <c r="DB41" i="68"/>
  <c r="F14" i="71"/>
  <c r="B17" i="69"/>
  <c r="F16" i="71"/>
  <c r="Q16" i="71"/>
  <c r="Q14" i="71"/>
  <c r="R12" i="71"/>
  <c r="P15" i="6"/>
  <c r="D33" i="15"/>
  <c r="L5" i="71"/>
  <c r="M5" i="71"/>
  <c r="M7" i="71"/>
  <c r="N7" i="71"/>
  <c r="N5" i="71"/>
  <c r="O5" i="71"/>
  <c r="O7" i="71"/>
  <c r="P7" i="71"/>
  <c r="P5" i="71"/>
  <c r="Q7" i="71"/>
  <c r="Q5" i="71"/>
  <c r="R7" i="71"/>
  <c r="R5" i="71"/>
  <c r="S5" i="71"/>
  <c r="S7" i="71"/>
  <c r="L16" i="71"/>
  <c r="L14" i="71"/>
  <c r="M14" i="71"/>
  <c r="M16" i="71"/>
  <c r="N14" i="71"/>
  <c r="N16" i="71"/>
  <c r="O16" i="71"/>
  <c r="O14" i="71"/>
  <c r="G16" i="71"/>
  <c r="G14" i="71"/>
  <c r="H12" i="71"/>
  <c r="D32" i="15"/>
  <c r="B5" i="71"/>
  <c r="C7" i="71"/>
  <c r="C5" i="71"/>
  <c r="D5" i="71"/>
  <c r="D7" i="71"/>
  <c r="E7" i="71"/>
  <c r="E5" i="71"/>
  <c r="F5" i="71"/>
  <c r="F7" i="71"/>
  <c r="G7" i="71"/>
  <c r="G5" i="71"/>
  <c r="H5" i="71"/>
  <c r="H7" i="71"/>
  <c r="I7" i="71"/>
  <c r="I5" i="71"/>
  <c r="B14" i="71"/>
  <c r="B16" i="71"/>
  <c r="C16" i="71"/>
  <c r="C14" i="71"/>
  <c r="D16" i="71"/>
  <c r="D14" i="71"/>
  <c r="E16" i="71"/>
  <c r="E14" i="71"/>
  <c r="P35" i="5"/>
  <c r="Q35" i="5" s="1"/>
  <c r="P16" i="71"/>
  <c r="B65" i="51"/>
  <c r="F10" i="69"/>
  <c r="B19" i="19"/>
  <c r="B26" i="19" s="1"/>
  <c r="D32" i="19"/>
  <c r="B22" i="11"/>
  <c r="L33" i="11" s="1"/>
  <c r="D17" i="65"/>
  <c r="H75" i="51"/>
  <c r="Q25" i="6"/>
  <c r="B18" i="19"/>
  <c r="V12" i="6"/>
  <c r="B22" i="19"/>
  <c r="L33" i="19" s="1"/>
  <c r="U17" i="6"/>
  <c r="B21" i="19"/>
  <c r="N60" i="6"/>
  <c r="N50" i="6" s="1"/>
  <c r="B22" i="15"/>
  <c r="L33" i="15" s="1"/>
  <c r="S53" i="6"/>
  <c r="F14" i="6"/>
  <c r="I14" i="6" s="1"/>
  <c r="N24" i="6"/>
  <c r="O24" i="6" s="1"/>
  <c r="Q24" i="6" s="1"/>
  <c r="O31" i="6"/>
  <c r="Q31" i="6" s="1"/>
  <c r="P35" i="6"/>
  <c r="Q35" i="6" s="1"/>
  <c r="N15" i="6"/>
  <c r="O15" i="6" s="1"/>
  <c r="P34" i="6"/>
  <c r="Q34" i="6" s="1"/>
  <c r="L28" i="6"/>
  <c r="B18" i="15"/>
  <c r="P38" i="6"/>
  <c r="I38" i="18"/>
  <c r="S17" i="6"/>
  <c r="T17" i="6"/>
  <c r="P12" i="67"/>
  <c r="O16" i="67"/>
  <c r="O14" i="67"/>
  <c r="F12" i="67"/>
  <c r="E16" i="67"/>
  <c r="E14" i="67"/>
  <c r="B35" i="3"/>
  <c r="B36" i="3" s="1"/>
  <c r="P34" i="5"/>
  <c r="Q34" i="5" s="1"/>
  <c r="I19" i="10"/>
  <c r="M19" i="18"/>
  <c r="B23" i="18"/>
  <c r="E18" i="18" s="1"/>
  <c r="G18" i="18" s="1"/>
  <c r="I18" i="18" s="1"/>
  <c r="K18" i="18" s="1"/>
  <c r="K19" i="18" s="1"/>
  <c r="L19" i="18" s="1"/>
  <c r="O5" i="49"/>
  <c r="C14" i="63"/>
  <c r="C16" i="63"/>
  <c r="D12" i="63"/>
  <c r="P12" i="63"/>
  <c r="O16" i="63"/>
  <c r="O14" i="63"/>
  <c r="B17" i="62"/>
  <c r="J38" i="18"/>
  <c r="K38" i="18"/>
  <c r="L38" i="18"/>
  <c r="Q24" i="5"/>
  <c r="O57" i="5"/>
  <c r="O56" i="5" s="1"/>
  <c r="O58" i="5" s="1"/>
  <c r="G19" i="5" s="1"/>
  <c r="V49" i="5"/>
  <c r="B25" i="10"/>
  <c r="H33" i="11"/>
  <c r="N54" i="6"/>
  <c r="N57" i="5"/>
  <c r="N56" i="5" s="1"/>
  <c r="N58" i="5" s="1"/>
  <c r="G18" i="5" s="1"/>
  <c r="Q25" i="5"/>
  <c r="H33" i="14"/>
  <c r="B23" i="10"/>
  <c r="E18" i="10" s="1"/>
  <c r="G15" i="10" s="1"/>
  <c r="L15" i="5"/>
  <c r="M15" i="5" s="1"/>
  <c r="I13" i="5"/>
  <c r="V54" i="5"/>
  <c r="O54" i="6"/>
  <c r="O57" i="6" s="1"/>
  <c r="O56" i="6" s="1"/>
  <c r="O58" i="6" s="1"/>
  <c r="G19" i="6" s="1"/>
  <c r="J38" i="10"/>
  <c r="K38" i="10"/>
  <c r="B26" i="10"/>
  <c r="C26" i="10" s="1"/>
  <c r="I38" i="10"/>
  <c r="L38" i="10"/>
  <c r="S50" i="5"/>
  <c r="C26" i="18"/>
  <c r="L15" i="6"/>
  <c r="R21" i="6" s="1"/>
  <c r="S21" i="6" s="1"/>
  <c r="T21" i="6" s="1"/>
  <c r="T22" i="6" s="1"/>
  <c r="V49" i="6"/>
  <c r="BJ38" i="61"/>
  <c r="DC41" i="61"/>
  <c r="DE41" i="61" s="1"/>
  <c r="CW46" i="61" s="1"/>
  <c r="B74" i="54" s="1"/>
  <c r="AC36" i="61"/>
  <c r="CQ38" i="61"/>
  <c r="H36" i="61"/>
  <c r="J36" i="61" s="1"/>
  <c r="B41" i="61" s="1"/>
  <c r="B66" i="54" s="1"/>
  <c r="DN41" i="61"/>
  <c r="DP41" i="61" s="1"/>
  <c r="DH46" i="61" s="1"/>
  <c r="B75" i="54" s="1"/>
  <c r="AZ38" i="61"/>
  <c r="BB38" i="61" s="1"/>
  <c r="AT43" i="61" s="1"/>
  <c r="B69" i="54" s="1"/>
  <c r="BV38" i="61"/>
  <c r="BX38" i="61" s="1"/>
  <c r="BP43" i="61" s="1"/>
  <c r="B71" i="54" s="1"/>
  <c r="DY41" i="61"/>
  <c r="EA41" i="61" s="1"/>
  <c r="DS46" i="61" s="1"/>
  <c r="B76" i="54" s="1"/>
  <c r="AN36" i="61"/>
  <c r="R36" i="61"/>
  <c r="J22" i="1"/>
  <c r="CF38" i="61"/>
  <c r="K52" i="53"/>
  <c r="J20" i="53"/>
  <c r="B37" i="3"/>
  <c r="B67" i="41"/>
  <c r="B74" i="41"/>
  <c r="G3" i="49"/>
  <c r="P7" i="49"/>
  <c r="O7" i="49"/>
  <c r="P5" i="49"/>
  <c r="F10" i="47"/>
  <c r="G18" i="14"/>
  <c r="E19" i="14"/>
  <c r="C35" i="3"/>
  <c r="C36" i="3" s="1"/>
  <c r="E36" i="3" s="1"/>
  <c r="C37" i="3"/>
  <c r="C25" i="14"/>
  <c r="S34" i="5"/>
  <c r="S35" i="5"/>
  <c r="S18" i="6"/>
  <c r="S14" i="6"/>
  <c r="T14" i="6" s="1"/>
  <c r="S13" i="6"/>
  <c r="U18" i="6"/>
  <c r="V18" i="6"/>
  <c r="S12" i="6"/>
  <c r="T12" i="6" s="1"/>
  <c r="T18" i="6"/>
  <c r="C7" i="49"/>
  <c r="C5" i="49"/>
  <c r="E7" i="49"/>
  <c r="D5" i="49"/>
  <c r="E5" i="49"/>
  <c r="D7" i="49"/>
  <c r="B5" i="49"/>
  <c r="F7" i="49"/>
  <c r="F5" i="49"/>
  <c r="B25" i="18"/>
  <c r="S35" i="6"/>
  <c r="S34" i="6"/>
  <c r="H33" i="15"/>
  <c r="M7" i="49"/>
  <c r="L5" i="49"/>
  <c r="M5" i="49"/>
  <c r="N7" i="49"/>
  <c r="N5" i="49"/>
  <c r="H79" i="54"/>
  <c r="M5" i="44"/>
  <c r="C5" i="44"/>
  <c r="Q7" i="49"/>
  <c r="Q5" i="49"/>
  <c r="R3" i="49"/>
  <c r="B17" i="47"/>
  <c r="B17" i="42"/>
  <c r="J39" i="18"/>
  <c r="K39" i="18"/>
  <c r="I39" i="18"/>
  <c r="I33" i="18"/>
  <c r="J33" i="18" s="1"/>
  <c r="I35" i="18"/>
  <c r="J35" i="18" s="1"/>
  <c r="L39" i="18"/>
  <c r="I34" i="18"/>
  <c r="B70" i="41"/>
  <c r="B66" i="41"/>
  <c r="B72" i="41"/>
  <c r="B65" i="41"/>
  <c r="B68" i="41"/>
  <c r="B73" i="41"/>
  <c r="B76" i="41"/>
  <c r="B75" i="41"/>
  <c r="B71" i="41"/>
  <c r="B69" i="41"/>
  <c r="M7" i="44"/>
  <c r="B5" i="44"/>
  <c r="C7" i="44"/>
  <c r="L5" i="44"/>
  <c r="H79" i="41"/>
  <c r="F10" i="42"/>
  <c r="S14" i="5"/>
  <c r="T14" i="5" s="1"/>
  <c r="S12" i="5"/>
  <c r="T12" i="5" s="1"/>
  <c r="T18" i="5"/>
  <c r="T16" i="5" s="1"/>
  <c r="T19" i="5" s="1"/>
  <c r="T20" i="5" s="1"/>
  <c r="S18" i="5"/>
  <c r="S16" i="5" s="1"/>
  <c r="S19" i="5" s="1"/>
  <c r="S20" i="5" s="1"/>
  <c r="U18" i="5"/>
  <c r="U16" i="5" s="1"/>
  <c r="U19" i="5" s="1"/>
  <c r="U20" i="5" s="1"/>
  <c r="S13" i="5"/>
  <c r="V16" i="5"/>
  <c r="V19" i="5" s="1"/>
  <c r="V20" i="5" s="1"/>
  <c r="U12" i="5" s="1"/>
  <c r="W12" i="5" s="1"/>
  <c r="I39" i="19"/>
  <c r="L39" i="19"/>
  <c r="K39" i="19"/>
  <c r="J39" i="19"/>
  <c r="L39" i="10"/>
  <c r="K39" i="10"/>
  <c r="J39" i="10"/>
  <c r="I35" i="10"/>
  <c r="J35" i="10" s="1"/>
  <c r="I34" i="10"/>
  <c r="I33" i="10"/>
  <c r="J33" i="10" s="1"/>
  <c r="I39" i="10"/>
  <c r="E3" i="44"/>
  <c r="D5" i="44"/>
  <c r="D7" i="44"/>
  <c r="O3" i="44"/>
  <c r="N5" i="44"/>
  <c r="N7" i="44"/>
  <c r="B32" i="71"/>
  <c r="L17" i="51"/>
  <c r="B115" i="54"/>
  <c r="B115" i="41"/>
  <c r="K8" i="2"/>
  <c r="B32" i="44"/>
  <c r="L6" i="41"/>
  <c r="L13" i="64"/>
  <c r="B115" i="64"/>
  <c r="B32" i="67"/>
  <c r="B115" i="50"/>
  <c r="B32" i="63"/>
  <c r="L13" i="50"/>
  <c r="L8" i="54"/>
  <c r="K10" i="2"/>
  <c r="B32" i="49"/>
  <c r="L17" i="56"/>
  <c r="B115" i="51"/>
  <c r="F37" i="5" l="1"/>
  <c r="H21" i="51"/>
  <c r="D64" i="1"/>
  <c r="J27" i="1"/>
  <c r="D61" i="53"/>
  <c r="J28" i="1"/>
  <c r="L32" i="36"/>
  <c r="L35" i="36" s="1"/>
  <c r="E11" i="36" s="1"/>
  <c r="E9" i="36" s="1"/>
  <c r="G28" i="36"/>
  <c r="G29" i="36" s="1"/>
  <c r="G30" i="36" s="1"/>
  <c r="C28" i="36"/>
  <c r="C29" i="36" s="1"/>
  <c r="C30" i="36" s="1"/>
  <c r="G34" i="3"/>
  <c r="H21" i="54"/>
  <c r="G80" i="54" s="1"/>
  <c r="D36" i="3"/>
  <c r="B30" i="36"/>
  <c r="B26" i="36"/>
  <c r="D28" i="36"/>
  <c r="D29" i="36" s="1"/>
  <c r="E28" i="36"/>
  <c r="E29" i="36" s="1"/>
  <c r="F28" i="36"/>
  <c r="F29" i="36" s="1"/>
  <c r="I23" i="36"/>
  <c r="H27" i="36"/>
  <c r="H25" i="36"/>
  <c r="S50" i="6"/>
  <c r="J38" i="15"/>
  <c r="H21" i="41"/>
  <c r="G80" i="41" s="1"/>
  <c r="I38" i="15"/>
  <c r="B26" i="15"/>
  <c r="C26" i="15" s="1"/>
  <c r="I19" i="11"/>
  <c r="I34" i="19"/>
  <c r="K38" i="11"/>
  <c r="I38" i="11"/>
  <c r="B25" i="11"/>
  <c r="K19" i="15"/>
  <c r="B26" i="11"/>
  <c r="C26" i="11" s="1"/>
  <c r="I35" i="11"/>
  <c r="J35" i="11" s="1"/>
  <c r="B25" i="15"/>
  <c r="K38" i="15"/>
  <c r="L38" i="11"/>
  <c r="M19" i="19"/>
  <c r="D17" i="69"/>
  <c r="S12" i="74"/>
  <c r="I12" i="74"/>
  <c r="K38" i="19"/>
  <c r="K37" i="19" s="1"/>
  <c r="K40" i="19" s="1"/>
  <c r="K41" i="19" s="1"/>
  <c r="B23" i="15"/>
  <c r="E18" i="15" s="1"/>
  <c r="G18" i="15" s="1"/>
  <c r="I18" i="15" s="1"/>
  <c r="I19" i="15" s="1"/>
  <c r="J19" i="15" s="1"/>
  <c r="I35" i="19"/>
  <c r="J35" i="19" s="1"/>
  <c r="L38" i="19"/>
  <c r="L37" i="19" s="1"/>
  <c r="L40" i="19" s="1"/>
  <c r="L41" i="19" s="1"/>
  <c r="K33" i="19" s="1"/>
  <c r="M33" i="19" s="1"/>
  <c r="B23" i="19"/>
  <c r="E18" i="19" s="1"/>
  <c r="E19" i="19" s="1"/>
  <c r="G32" i="19" s="1"/>
  <c r="I33" i="19"/>
  <c r="J33" i="19" s="1"/>
  <c r="J38" i="19"/>
  <c r="J37" i="19" s="1"/>
  <c r="J40" i="19" s="1"/>
  <c r="J41" i="19" s="1"/>
  <c r="S12" i="71"/>
  <c r="R14" i="71"/>
  <c r="R16" i="71"/>
  <c r="B25" i="19"/>
  <c r="I38" i="19"/>
  <c r="I37" i="19" s="1"/>
  <c r="I40" i="19" s="1"/>
  <c r="I41" i="19" s="1"/>
  <c r="C26" i="19"/>
  <c r="I12" i="71"/>
  <c r="H16" i="71"/>
  <c r="H14" i="71"/>
  <c r="B23" i="11"/>
  <c r="E18" i="11" s="1"/>
  <c r="E19" i="11" s="1"/>
  <c r="H42" i="11" s="1"/>
  <c r="I42" i="11" s="1"/>
  <c r="J42" i="11" s="1"/>
  <c r="J43" i="11" s="1"/>
  <c r="F29" i="65"/>
  <c r="N57" i="6"/>
  <c r="N56" i="6" s="1"/>
  <c r="N58" i="6" s="1"/>
  <c r="G18" i="6" s="1"/>
  <c r="F27" i="6"/>
  <c r="M39" i="6"/>
  <c r="Q39" i="6" s="1"/>
  <c r="S39" i="6" s="1"/>
  <c r="I13" i="6"/>
  <c r="V54" i="6"/>
  <c r="V61" i="6" s="1"/>
  <c r="G12" i="67"/>
  <c r="F16" i="67"/>
  <c r="F14" i="67"/>
  <c r="Q12" i="67"/>
  <c r="P16" i="67"/>
  <c r="P14" i="67"/>
  <c r="I39" i="11"/>
  <c r="M39" i="5"/>
  <c r="Q39" i="5" s="1"/>
  <c r="S39" i="5" s="1"/>
  <c r="J39" i="11"/>
  <c r="J37" i="11" s="1"/>
  <c r="J40" i="11" s="1"/>
  <c r="J41" i="11" s="1"/>
  <c r="D17" i="62"/>
  <c r="C25" i="18"/>
  <c r="E19" i="18"/>
  <c r="E21" i="18" s="1"/>
  <c r="E26" i="18" s="1"/>
  <c r="B27" i="18" s="1"/>
  <c r="I19" i="18"/>
  <c r="J19" i="18" s="1"/>
  <c r="G19" i="18"/>
  <c r="H19" i="18" s="1"/>
  <c r="E12" i="63"/>
  <c r="D16" i="63"/>
  <c r="D14" i="63"/>
  <c r="Q12" i="63"/>
  <c r="P16" i="63"/>
  <c r="P14" i="63"/>
  <c r="V59" i="5"/>
  <c r="I34" i="11"/>
  <c r="I33" i="11"/>
  <c r="J33" i="11" s="1"/>
  <c r="L39" i="11"/>
  <c r="M15" i="6"/>
  <c r="K39" i="11"/>
  <c r="M38" i="6"/>
  <c r="Q38" i="6" s="1"/>
  <c r="F28" i="6" s="1"/>
  <c r="L17" i="6"/>
  <c r="L18" i="6" s="1"/>
  <c r="L19" i="6" s="1"/>
  <c r="L20" i="6" s="1"/>
  <c r="L21" i="6" s="1"/>
  <c r="V60" i="5"/>
  <c r="M38" i="5"/>
  <c r="C25" i="10"/>
  <c r="R21" i="5"/>
  <c r="S21" i="5" s="1"/>
  <c r="T21" i="5" s="1"/>
  <c r="T22" i="5" s="1"/>
  <c r="G18" i="10"/>
  <c r="G19" i="10" s="1"/>
  <c r="H19" i="10" s="1"/>
  <c r="E19" i="10"/>
  <c r="F19" i="10" s="1"/>
  <c r="V62" i="5"/>
  <c r="V61" i="5"/>
  <c r="L17" i="5"/>
  <c r="L18" i="5" s="1"/>
  <c r="L19" i="5" s="1"/>
  <c r="L20" i="5" s="1"/>
  <c r="L21" i="5" s="1"/>
  <c r="M17" i="5" s="1"/>
  <c r="M14" i="5" s="1"/>
  <c r="K39" i="14"/>
  <c r="K37" i="14" s="1"/>
  <c r="K40" i="14" s="1"/>
  <c r="K41" i="14" s="1"/>
  <c r="I35" i="14"/>
  <c r="J35" i="14" s="1"/>
  <c r="I34" i="14"/>
  <c r="I33" i="14"/>
  <c r="J33" i="14" s="1"/>
  <c r="I39" i="14"/>
  <c r="I37" i="14" s="1"/>
  <c r="I40" i="14" s="1"/>
  <c r="I41" i="14" s="1"/>
  <c r="J39" i="14"/>
  <c r="J37" i="14" s="1"/>
  <c r="J40" i="14" s="1"/>
  <c r="J41" i="14" s="1"/>
  <c r="L39" i="14"/>
  <c r="L37" i="14" s="1"/>
  <c r="L40" i="14" s="1"/>
  <c r="L41" i="14" s="1"/>
  <c r="K33" i="14" s="1"/>
  <c r="M33" i="14" s="1"/>
  <c r="D58" i="53"/>
  <c r="D59" i="53"/>
  <c r="D65" i="1"/>
  <c r="D62" i="1"/>
  <c r="D63" i="1"/>
  <c r="D66" i="1"/>
  <c r="D60" i="53"/>
  <c r="D62" i="53"/>
  <c r="G7" i="49"/>
  <c r="H3" i="49"/>
  <c r="G5" i="49"/>
  <c r="U16" i="6"/>
  <c r="U19" i="6" s="1"/>
  <c r="U20" i="6" s="1"/>
  <c r="F19" i="14"/>
  <c r="H42" i="14"/>
  <c r="I42" i="14" s="1"/>
  <c r="J42" i="14" s="1"/>
  <c r="J43" i="14" s="1"/>
  <c r="G32" i="14"/>
  <c r="E21" i="14"/>
  <c r="F29" i="5"/>
  <c r="I18" i="14"/>
  <c r="I19" i="14" s="1"/>
  <c r="J19" i="14" s="1"/>
  <c r="G19" i="14"/>
  <c r="H19" i="14" s="1"/>
  <c r="S16" i="6"/>
  <c r="S19" i="6" s="1"/>
  <c r="S20" i="6" s="1"/>
  <c r="T16" i="6"/>
  <c r="T19" i="6" s="1"/>
  <c r="T20" i="6" s="1"/>
  <c r="F29" i="6"/>
  <c r="J39" i="15"/>
  <c r="I39" i="15"/>
  <c r="I33" i="15"/>
  <c r="J33" i="15" s="1"/>
  <c r="L39" i="15"/>
  <c r="I34" i="15"/>
  <c r="K39" i="15"/>
  <c r="I35" i="15"/>
  <c r="J35" i="15" s="1"/>
  <c r="V16" i="6"/>
  <c r="V19" i="6" s="1"/>
  <c r="V20" i="6" s="1"/>
  <c r="U12" i="6" s="1"/>
  <c r="W12" i="6" s="1"/>
  <c r="D17" i="42"/>
  <c r="R5" i="49"/>
  <c r="S3" i="49"/>
  <c r="R7" i="49"/>
  <c r="D17" i="47"/>
  <c r="J37" i="18"/>
  <c r="J40" i="18" s="1"/>
  <c r="J41" i="18" s="1"/>
  <c r="L37" i="18"/>
  <c r="L40" i="18" s="1"/>
  <c r="L41" i="18" s="1"/>
  <c r="K33" i="18" s="1"/>
  <c r="M33" i="18" s="1"/>
  <c r="I37" i="18"/>
  <c r="I40" i="18" s="1"/>
  <c r="I41" i="18" s="1"/>
  <c r="K37" i="18"/>
  <c r="K40" i="18" s="1"/>
  <c r="K41" i="18" s="1"/>
  <c r="L37" i="10"/>
  <c r="L40" i="10" s="1"/>
  <c r="L41" i="10" s="1"/>
  <c r="K33" i="10" s="1"/>
  <c r="M33" i="10" s="1"/>
  <c r="I37" i="10"/>
  <c r="I40" i="10" s="1"/>
  <c r="I41" i="10" s="1"/>
  <c r="J37" i="10"/>
  <c r="J40" i="10" s="1"/>
  <c r="J41" i="10" s="1"/>
  <c r="K37" i="10"/>
  <c r="K40" i="10" s="1"/>
  <c r="K41" i="10" s="1"/>
  <c r="E7" i="44"/>
  <c r="E5" i="44"/>
  <c r="F3" i="44"/>
  <c r="O7" i="44"/>
  <c r="O5" i="44"/>
  <c r="P3" i="44"/>
  <c r="B118" i="41"/>
  <c r="B118" i="54"/>
  <c r="E51" i="71"/>
  <c r="E51" i="49"/>
  <c r="L14" i="50"/>
  <c r="B35" i="63"/>
  <c r="E51" i="44"/>
  <c r="B118" i="51"/>
  <c r="K11" i="2"/>
  <c r="L9" i="54"/>
  <c r="L7" i="41"/>
  <c r="B48" i="73"/>
  <c r="B35" i="49"/>
  <c r="B35" i="67"/>
  <c r="L18" i="51"/>
  <c r="B35" i="44"/>
  <c r="E50" i="74"/>
  <c r="B35" i="71"/>
  <c r="B118" i="50"/>
  <c r="L14" i="64"/>
  <c r="L18" i="56"/>
  <c r="B118" i="64"/>
  <c r="F25" i="2" l="1"/>
  <c r="F23" i="2"/>
  <c r="F26" i="2"/>
  <c r="F24" i="2"/>
  <c r="H22" i="51"/>
  <c r="B25" i="51" s="1"/>
  <c r="G77" i="51"/>
  <c r="H26" i="51"/>
  <c r="H23" i="51" s="1"/>
  <c r="G26" i="36"/>
  <c r="G24" i="36" s="1"/>
  <c r="L36" i="36"/>
  <c r="C26" i="36"/>
  <c r="C24" i="36" s="1"/>
  <c r="J21" i="53"/>
  <c r="B23" i="53" s="1"/>
  <c r="J23" i="1"/>
  <c r="C27" i="1" s="1"/>
  <c r="H26" i="54"/>
  <c r="I26" i="54" s="1"/>
  <c r="E30" i="36"/>
  <c r="E26" i="36"/>
  <c r="E24" i="36" s="1"/>
  <c r="B24" i="36"/>
  <c r="E10" i="36"/>
  <c r="F10" i="36" s="1"/>
  <c r="F9" i="36"/>
  <c r="D30" i="36"/>
  <c r="D26" i="36"/>
  <c r="D24" i="36" s="1"/>
  <c r="H28" i="36"/>
  <c r="H29" i="36" s="1"/>
  <c r="I27" i="36"/>
  <c r="B35" i="36"/>
  <c r="I25" i="36"/>
  <c r="F30" i="36"/>
  <c r="F26" i="36"/>
  <c r="F24" i="36" s="1"/>
  <c r="F18" i="6"/>
  <c r="I18" i="6" s="1"/>
  <c r="F19" i="6"/>
  <c r="I19" i="6" s="1"/>
  <c r="Q38" i="5"/>
  <c r="F28" i="5" s="1"/>
  <c r="F19" i="5"/>
  <c r="I19" i="5" s="1"/>
  <c r="V59" i="6"/>
  <c r="F18" i="5"/>
  <c r="H26" i="41"/>
  <c r="I37" i="11"/>
  <c r="I40" i="11" s="1"/>
  <c r="I41" i="11" s="1"/>
  <c r="K37" i="11"/>
  <c r="K40" i="11" s="1"/>
  <c r="K41" i="11" s="1"/>
  <c r="L37" i="11"/>
  <c r="L40" i="11" s="1"/>
  <c r="L41" i="11" s="1"/>
  <c r="K33" i="11" s="1"/>
  <c r="M33" i="11" s="1"/>
  <c r="F19" i="19"/>
  <c r="G18" i="19"/>
  <c r="G19" i="19" s="1"/>
  <c r="H19" i="19" s="1"/>
  <c r="G19" i="15"/>
  <c r="H19" i="15" s="1"/>
  <c r="C25" i="15"/>
  <c r="B24" i="56"/>
  <c r="I10" i="73"/>
  <c r="J10" i="73" s="1"/>
  <c r="DZ11" i="73"/>
  <c r="EA11" i="73" s="1"/>
  <c r="DZ27" i="73"/>
  <c r="EA27" i="73" s="1"/>
  <c r="DO13" i="73"/>
  <c r="DP13" i="73" s="1"/>
  <c r="EK27" i="73"/>
  <c r="EL27" i="73" s="1"/>
  <c r="DZ26" i="73"/>
  <c r="EA26" i="73" s="1"/>
  <c r="EK22" i="73"/>
  <c r="EL22" i="73" s="1"/>
  <c r="I20" i="73"/>
  <c r="J20" i="73" s="1"/>
  <c r="BA8" i="73"/>
  <c r="BB8" i="73" s="1"/>
  <c r="CS38" i="73"/>
  <c r="CT38" i="73" s="1"/>
  <c r="CS18" i="73"/>
  <c r="CT18" i="73" s="1"/>
  <c r="BL21" i="73"/>
  <c r="BM21" i="73" s="1"/>
  <c r="EK13" i="73"/>
  <c r="EL13" i="73" s="1"/>
  <c r="DD23" i="73"/>
  <c r="DE23" i="73" s="1"/>
  <c r="EK11" i="73"/>
  <c r="EL11" i="73" s="1"/>
  <c r="I11" i="73"/>
  <c r="J11" i="73" s="1"/>
  <c r="CH38" i="73"/>
  <c r="CI38" i="73" s="1"/>
  <c r="BW22" i="73"/>
  <c r="BX22" i="73" s="1"/>
  <c r="AE13" i="73"/>
  <c r="AF13" i="73" s="1"/>
  <c r="T13" i="73"/>
  <c r="U13" i="73" s="1"/>
  <c r="EK24" i="73"/>
  <c r="EL24" i="73" s="1"/>
  <c r="AP13" i="73"/>
  <c r="AQ13" i="73" s="1"/>
  <c r="BA16" i="73"/>
  <c r="BB16" i="73" s="1"/>
  <c r="DP41" i="73"/>
  <c r="BW7" i="73"/>
  <c r="BX7" i="73" s="1"/>
  <c r="T8" i="73"/>
  <c r="U8" i="73" s="1"/>
  <c r="BW9" i="73"/>
  <c r="BX9" i="73" s="1"/>
  <c r="AP22" i="73"/>
  <c r="AQ22" i="73" s="1"/>
  <c r="DZ12" i="73"/>
  <c r="EA12" i="73" s="1"/>
  <c r="CH19" i="73"/>
  <c r="CI19" i="73" s="1"/>
  <c r="CH18" i="73"/>
  <c r="CI18" i="73" s="1"/>
  <c r="CH34" i="73"/>
  <c r="CI34" i="73" s="1"/>
  <c r="EK7" i="73"/>
  <c r="EL7" i="73" s="1"/>
  <c r="CS13" i="73"/>
  <c r="CT13" i="73" s="1"/>
  <c r="DO12" i="73"/>
  <c r="DP12" i="73" s="1"/>
  <c r="EK26" i="73"/>
  <c r="EL26" i="73" s="1"/>
  <c r="AE12" i="73"/>
  <c r="AF12" i="73" s="1"/>
  <c r="T20" i="73"/>
  <c r="U20" i="73" s="1"/>
  <c r="CH11" i="73"/>
  <c r="CI11" i="73" s="1"/>
  <c r="DO9" i="73"/>
  <c r="DP9" i="73" s="1"/>
  <c r="BA7" i="73"/>
  <c r="BB7" i="73" s="1"/>
  <c r="BL8" i="73"/>
  <c r="BM8" i="73" s="1"/>
  <c r="AP18" i="73"/>
  <c r="AQ18" i="73" s="1"/>
  <c r="EK25" i="73"/>
  <c r="EL25" i="73" s="1"/>
  <c r="DO41" i="73"/>
  <c r="DD12" i="73"/>
  <c r="DE12" i="73" s="1"/>
  <c r="BA19" i="73"/>
  <c r="BB19" i="73" s="1"/>
  <c r="DD6" i="73"/>
  <c r="DE6" i="73" s="1"/>
  <c r="DZ18" i="73"/>
  <c r="EA18" i="73" s="1"/>
  <c r="DZ22" i="73"/>
  <c r="EA22" i="73" s="1"/>
  <c r="BW8" i="73"/>
  <c r="BX8" i="73" s="1"/>
  <c r="DZ8" i="73"/>
  <c r="EA8" i="73" s="1"/>
  <c r="DO6" i="73"/>
  <c r="DP6" i="73" s="1"/>
  <c r="DD20" i="73"/>
  <c r="DE20" i="73" s="1"/>
  <c r="DD19" i="73"/>
  <c r="DE19" i="73" s="1"/>
  <c r="CS11" i="73"/>
  <c r="CT11" i="73" s="1"/>
  <c r="DD13" i="73"/>
  <c r="DE13" i="73" s="1"/>
  <c r="DD25" i="73"/>
  <c r="DE25" i="73" s="1"/>
  <c r="DD9" i="73"/>
  <c r="DE9" i="73" s="1"/>
  <c r="CS16" i="73"/>
  <c r="CT16" i="73" s="1"/>
  <c r="DZ19" i="73"/>
  <c r="EA19" i="73" s="1"/>
  <c r="BL12" i="73"/>
  <c r="BM12" i="73" s="1"/>
  <c r="BL22" i="73"/>
  <c r="BM22" i="73" s="1"/>
  <c r="BW18" i="73"/>
  <c r="BX18" i="73" s="1"/>
  <c r="DD11" i="73"/>
  <c r="DE11" i="73" s="1"/>
  <c r="BA15" i="73"/>
  <c r="BB15" i="73" s="1"/>
  <c r="DZ6" i="73"/>
  <c r="EA6" i="73" s="1"/>
  <c r="DD16" i="73"/>
  <c r="DE16" i="73" s="1"/>
  <c r="BL15" i="73"/>
  <c r="BM15" i="73" s="1"/>
  <c r="DO25" i="73"/>
  <c r="DP25" i="73" s="1"/>
  <c r="T36" i="73"/>
  <c r="U36" i="73" s="1"/>
  <c r="EK16" i="73"/>
  <c r="EL16" i="73" s="1"/>
  <c r="DO8" i="73"/>
  <c r="DP8" i="73" s="1"/>
  <c r="CS7" i="73"/>
  <c r="CT7" i="73" s="1"/>
  <c r="AE18" i="73"/>
  <c r="AF18" i="73" s="1"/>
  <c r="DZ7" i="73"/>
  <c r="EA7" i="73" s="1"/>
  <c r="DZ9" i="73"/>
  <c r="EA9" i="73" s="1"/>
  <c r="DO24" i="73"/>
  <c r="DP24" i="73" s="1"/>
  <c r="I16" i="73"/>
  <c r="J16" i="73" s="1"/>
  <c r="CH15" i="73"/>
  <c r="CI15" i="73" s="1"/>
  <c r="CS9" i="73"/>
  <c r="CT9" i="73" s="1"/>
  <c r="BA9" i="73"/>
  <c r="BB9" i="73" s="1"/>
  <c r="EK8" i="73"/>
  <c r="EL8" i="73" s="1"/>
  <c r="T11" i="73"/>
  <c r="U11" i="73" s="1"/>
  <c r="AE36" i="73"/>
  <c r="AF36" i="73" s="1"/>
  <c r="I13" i="73"/>
  <c r="J13" i="73" s="1"/>
  <c r="CH9" i="73"/>
  <c r="CI9" i="73" s="1"/>
  <c r="AP19" i="73"/>
  <c r="AQ19" i="73" s="1"/>
  <c r="AP12" i="73"/>
  <c r="AQ12" i="73" s="1"/>
  <c r="CS24" i="73"/>
  <c r="CT24" i="73" s="1"/>
  <c r="DO7" i="73"/>
  <c r="DP7" i="73" s="1"/>
  <c r="AP16" i="73"/>
  <c r="AQ16" i="73" s="1"/>
  <c r="CS21" i="73"/>
  <c r="CT21" i="73" s="1"/>
  <c r="CS8" i="73"/>
  <c r="CT8" i="73" s="1"/>
  <c r="EK6" i="73"/>
  <c r="EL6" i="73" s="1"/>
  <c r="BW19" i="73"/>
  <c r="BX19" i="73" s="1"/>
  <c r="I19" i="73"/>
  <c r="J19" i="73" s="1"/>
  <c r="AP21" i="73"/>
  <c r="AQ21" i="73" s="1"/>
  <c r="BW15" i="73"/>
  <c r="BX15" i="73" s="1"/>
  <c r="DO18" i="73"/>
  <c r="DP18" i="73" s="1"/>
  <c r="AE8" i="73"/>
  <c r="AF8" i="73" s="1"/>
  <c r="DO21" i="73"/>
  <c r="DP21" i="73" s="1"/>
  <c r="DZ21" i="73"/>
  <c r="EA21" i="73" s="1"/>
  <c r="DZ41" i="73"/>
  <c r="BW12" i="73"/>
  <c r="BX12" i="73" s="1"/>
  <c r="T7" i="73"/>
  <c r="U7" i="73" s="1"/>
  <c r="DO26" i="73"/>
  <c r="DP26" i="73" s="1"/>
  <c r="CS15" i="73"/>
  <c r="CT15" i="73" s="1"/>
  <c r="CH16" i="73"/>
  <c r="CI16" i="73" s="1"/>
  <c r="BW16" i="73"/>
  <c r="BX16" i="73" s="1"/>
  <c r="DD8" i="73"/>
  <c r="DE8" i="73" s="1"/>
  <c r="BA12" i="73"/>
  <c r="BB12" i="73" s="1"/>
  <c r="DD22" i="73"/>
  <c r="DE22" i="73" s="1"/>
  <c r="CS22" i="73"/>
  <c r="CT22" i="73" s="1"/>
  <c r="AP11" i="73"/>
  <c r="AQ11" i="73" s="1"/>
  <c r="BW11" i="73"/>
  <c r="BX11" i="73" s="1"/>
  <c r="CH12" i="73"/>
  <c r="CI12" i="73" s="1"/>
  <c r="CH21" i="73"/>
  <c r="CI21" i="73" s="1"/>
  <c r="EK21" i="73"/>
  <c r="EL21" i="73" s="1"/>
  <c r="CH7" i="73"/>
  <c r="CI7" i="73" s="1"/>
  <c r="CH25" i="73"/>
  <c r="CI25" i="73" s="1"/>
  <c r="AE16" i="73"/>
  <c r="AF16" i="73" s="1"/>
  <c r="CS19" i="73"/>
  <c r="CT19" i="73" s="1"/>
  <c r="BA22" i="73"/>
  <c r="BB22" i="73" s="1"/>
  <c r="EK9" i="73"/>
  <c r="EL9" i="73" s="1"/>
  <c r="BA18" i="73"/>
  <c r="BB18" i="73" s="1"/>
  <c r="DO23" i="73"/>
  <c r="DP23" i="73" s="1"/>
  <c r="AE11" i="73"/>
  <c r="AF11" i="73" s="1"/>
  <c r="AP9" i="73"/>
  <c r="AQ9" i="73" s="1"/>
  <c r="EK41" i="73"/>
  <c r="BL19" i="73"/>
  <c r="BM19" i="73" s="1"/>
  <c r="BW38" i="73"/>
  <c r="BX38" i="73" s="1"/>
  <c r="DD14" i="73"/>
  <c r="DE14" i="73" s="1"/>
  <c r="T10" i="73"/>
  <c r="U10" i="73" s="1"/>
  <c r="DZ13" i="73"/>
  <c r="EA13" i="73" s="1"/>
  <c r="BL11" i="73"/>
  <c r="BM11" i="73" s="1"/>
  <c r="BW21" i="73"/>
  <c r="BX21" i="73" s="1"/>
  <c r="EK15" i="73"/>
  <c r="EL15" i="73" s="1"/>
  <c r="BA38" i="73"/>
  <c r="BB38" i="73" s="1"/>
  <c r="AE15" i="73"/>
  <c r="AF15" i="73" s="1"/>
  <c r="CH24" i="73"/>
  <c r="CI24" i="73" s="1"/>
  <c r="BL7" i="73"/>
  <c r="BM7" i="73" s="1"/>
  <c r="I14" i="73"/>
  <c r="J14" i="73" s="1"/>
  <c r="BA13" i="73"/>
  <c r="BB13" i="73" s="1"/>
  <c r="DZ24" i="73"/>
  <c r="EA24" i="73" s="1"/>
  <c r="AE19" i="73"/>
  <c r="AF19" i="73" s="1"/>
  <c r="AP8" i="73"/>
  <c r="AQ8" i="73" s="1"/>
  <c r="AP36" i="73"/>
  <c r="AQ36" i="73" s="1"/>
  <c r="EL41" i="73"/>
  <c r="DO11" i="73"/>
  <c r="DP11" i="73" s="1"/>
  <c r="CH8" i="73"/>
  <c r="CI8" i="73" s="1"/>
  <c r="BL9" i="73"/>
  <c r="BM9" i="73" s="1"/>
  <c r="CS25" i="73"/>
  <c r="CT25" i="73" s="1"/>
  <c r="DO17" i="73"/>
  <c r="DP17" i="73" s="1"/>
  <c r="EK14" i="73"/>
  <c r="EL14" i="73" s="1"/>
  <c r="DE41" i="73"/>
  <c r="DZ15" i="73"/>
  <c r="EA15" i="73" s="1"/>
  <c r="I8" i="73"/>
  <c r="J8" i="73" s="1"/>
  <c r="DD7" i="73"/>
  <c r="DE7" i="73" s="1"/>
  <c r="BW13" i="73"/>
  <c r="BX13" i="73" s="1"/>
  <c r="EK12" i="73"/>
  <c r="EL12" i="73" s="1"/>
  <c r="I36" i="73"/>
  <c r="J36" i="73" s="1"/>
  <c r="AE21" i="73"/>
  <c r="AF21" i="73" s="1"/>
  <c r="BA21" i="73"/>
  <c r="BB21" i="73" s="1"/>
  <c r="T19" i="73"/>
  <c r="U19" i="73" s="1"/>
  <c r="CS12" i="73"/>
  <c r="CT12" i="73" s="1"/>
  <c r="CH13" i="73"/>
  <c r="CI13" i="73" s="1"/>
  <c r="AP15" i="73"/>
  <c r="AQ15" i="73" s="1"/>
  <c r="DO15" i="73"/>
  <c r="DP15" i="73" s="1"/>
  <c r="DO20" i="73"/>
  <c r="DP20" i="73" s="1"/>
  <c r="T17" i="73"/>
  <c r="U17" i="73" s="1"/>
  <c r="DD17" i="73"/>
  <c r="DE17" i="73" s="1"/>
  <c r="BA11" i="73"/>
  <c r="BB11" i="73" s="1"/>
  <c r="AP7" i="73"/>
  <c r="AQ7" i="73" s="1"/>
  <c r="EK18" i="73"/>
  <c r="EL18" i="73" s="1"/>
  <c r="DZ14" i="73"/>
  <c r="EA14" i="73" s="1"/>
  <c r="EK19" i="73"/>
  <c r="EL19" i="73" s="1"/>
  <c r="CH22" i="73"/>
  <c r="CI22" i="73" s="1"/>
  <c r="AE22" i="73"/>
  <c r="AF22" i="73" s="1"/>
  <c r="DZ25" i="73"/>
  <c r="EA25" i="73" s="1"/>
  <c r="T16" i="73"/>
  <c r="U16" i="73" s="1"/>
  <c r="DD24" i="73"/>
  <c r="DE24" i="73" s="1"/>
  <c r="BL16" i="73"/>
  <c r="BM16" i="73" s="1"/>
  <c r="I7" i="73"/>
  <c r="J7" i="73" s="1"/>
  <c r="AE9" i="73"/>
  <c r="AF9" i="73" s="1"/>
  <c r="DD41" i="73"/>
  <c r="BL18" i="73"/>
  <c r="BM18" i="73" s="1"/>
  <c r="I17" i="73"/>
  <c r="J17" i="73" s="1"/>
  <c r="AE7" i="73"/>
  <c r="AF7" i="73" s="1"/>
  <c r="BL13" i="73"/>
  <c r="BM13" i="73" s="1"/>
  <c r="T14" i="73"/>
  <c r="U14" i="73" s="1"/>
  <c r="BL38" i="73"/>
  <c r="BM38" i="73" s="1"/>
  <c r="EA41" i="73"/>
  <c r="B21" i="74"/>
  <c r="E21" i="19"/>
  <c r="E22" i="19" s="1"/>
  <c r="L21" i="74"/>
  <c r="C25" i="19"/>
  <c r="E19" i="15"/>
  <c r="F19" i="15" s="1"/>
  <c r="F29" i="69"/>
  <c r="F19" i="11"/>
  <c r="E21" i="11"/>
  <c r="E14" i="11" s="1"/>
  <c r="G32" i="11"/>
  <c r="G18" i="11"/>
  <c r="G19" i="11" s="1"/>
  <c r="H19" i="11" s="1"/>
  <c r="G15" i="11"/>
  <c r="C25" i="11"/>
  <c r="I16" i="71"/>
  <c r="B21" i="71"/>
  <c r="I14" i="71"/>
  <c r="H42" i="19"/>
  <c r="I42" i="19" s="1"/>
  <c r="J42" i="19" s="1"/>
  <c r="J43" i="19" s="1"/>
  <c r="L21" i="71"/>
  <c r="S14" i="71"/>
  <c r="S16" i="71"/>
  <c r="V62" i="6"/>
  <c r="V60" i="6"/>
  <c r="L14" i="6"/>
  <c r="T7" i="6" s="1"/>
  <c r="E22" i="18"/>
  <c r="E23" i="18" s="1"/>
  <c r="E25" i="18" s="1"/>
  <c r="E27" i="18" s="1"/>
  <c r="R12" i="67"/>
  <c r="Q16" i="67"/>
  <c r="Q14" i="67"/>
  <c r="H12" i="67"/>
  <c r="G16" i="67"/>
  <c r="G14" i="67"/>
  <c r="H42" i="18"/>
  <c r="I42" i="18" s="1"/>
  <c r="J42" i="18" s="1"/>
  <c r="J43" i="18" s="1"/>
  <c r="G32" i="18"/>
  <c r="F29" i="62"/>
  <c r="E14" i="18"/>
  <c r="F19" i="18"/>
  <c r="F12" i="63"/>
  <c r="E16" i="63"/>
  <c r="E14" i="63"/>
  <c r="R12" i="63"/>
  <c r="Q16" i="63"/>
  <c r="Q14" i="63"/>
  <c r="V63" i="5"/>
  <c r="V58" i="5" s="1"/>
  <c r="V69" i="5" s="1"/>
  <c r="M17" i="6"/>
  <c r="M14" i="6" s="1"/>
  <c r="S38" i="6"/>
  <c r="G20" i="6" s="1"/>
  <c r="I20" i="6" s="1"/>
  <c r="L13" i="6"/>
  <c r="S7" i="6" s="1"/>
  <c r="H42" i="10"/>
  <c r="I42" i="10" s="1"/>
  <c r="J42" i="10" s="1"/>
  <c r="J43" i="10" s="1"/>
  <c r="E21" i="10"/>
  <c r="E26" i="10" s="1"/>
  <c r="B27" i="10" s="1"/>
  <c r="G32" i="10"/>
  <c r="L14" i="5"/>
  <c r="L13" i="5"/>
  <c r="M18" i="5"/>
  <c r="M19" i="5" s="1"/>
  <c r="M20" i="5" s="1"/>
  <c r="M21" i="5" s="1"/>
  <c r="N17" i="5" s="1"/>
  <c r="N14" i="5" s="1"/>
  <c r="N22" i="5" s="1"/>
  <c r="H5" i="49"/>
  <c r="I3" i="49"/>
  <c r="H7" i="49"/>
  <c r="F29" i="42"/>
  <c r="I37" i="15"/>
  <c r="I40" i="15" s="1"/>
  <c r="I41" i="15" s="1"/>
  <c r="J37" i="15"/>
  <c r="J40" i="15" s="1"/>
  <c r="J41" i="15" s="1"/>
  <c r="E14" i="14"/>
  <c r="E22" i="14"/>
  <c r="E26" i="14"/>
  <c r="B27" i="14" s="1"/>
  <c r="K37" i="15"/>
  <c r="K40" i="15" s="1"/>
  <c r="K41" i="15" s="1"/>
  <c r="L37" i="15"/>
  <c r="L40" i="15" s="1"/>
  <c r="L41" i="15" s="1"/>
  <c r="K33" i="15" s="1"/>
  <c r="M33" i="15" s="1"/>
  <c r="H22" i="41"/>
  <c r="S7" i="49"/>
  <c r="S5" i="49"/>
  <c r="L12" i="49"/>
  <c r="F29" i="47"/>
  <c r="H22" i="54"/>
  <c r="Q3" i="44"/>
  <c r="P5" i="44"/>
  <c r="P7" i="44"/>
  <c r="G3" i="44"/>
  <c r="F7" i="44"/>
  <c r="F5" i="44"/>
  <c r="E34" i="71"/>
  <c r="E42" i="47"/>
  <c r="E38" i="74"/>
  <c r="E34" i="44"/>
  <c r="E40" i="74"/>
  <c r="E55" i="74"/>
  <c r="E33" i="44"/>
  <c r="E45" i="72"/>
  <c r="L15" i="64"/>
  <c r="E34" i="49"/>
  <c r="E41" i="44"/>
  <c r="E41" i="71"/>
  <c r="L8" i="41"/>
  <c r="L15" i="50"/>
  <c r="L19" i="56"/>
  <c r="L19" i="51"/>
  <c r="L10" i="54"/>
  <c r="E60" i="74"/>
  <c r="E33" i="49"/>
  <c r="E33" i="71"/>
  <c r="E42" i="42"/>
  <c r="E41" i="49"/>
  <c r="K12" i="2"/>
  <c r="I22" i="51" l="1"/>
  <c r="I26" i="51"/>
  <c r="I27" i="1"/>
  <c r="C28" i="1"/>
  <c r="C31" i="1" s="1"/>
  <c r="I28" i="1"/>
  <c r="I28" i="36"/>
  <c r="I29" i="36" s="1"/>
  <c r="I26" i="36" s="1"/>
  <c r="I24" i="36" s="1"/>
  <c r="E27" i="10"/>
  <c r="I24" i="5" a="1"/>
  <c r="I24" i="5" s="1"/>
  <c r="I18" i="5"/>
  <c r="H30" i="36"/>
  <c r="H26" i="36"/>
  <c r="H24" i="36" s="1"/>
  <c r="B39" i="36"/>
  <c r="B37" i="36"/>
  <c r="C35" i="36"/>
  <c r="S38" i="5"/>
  <c r="G20" i="5" s="1"/>
  <c r="I20" i="5" s="1"/>
  <c r="V63" i="6"/>
  <c r="V58" i="6" s="1"/>
  <c r="L22" i="6"/>
  <c r="E21" i="15"/>
  <c r="E26" i="19"/>
  <c r="B27" i="19" s="1"/>
  <c r="I18" i="19"/>
  <c r="K18" i="19" s="1"/>
  <c r="K19" i="19" s="1"/>
  <c r="L19" i="19" s="1"/>
  <c r="G32" i="15"/>
  <c r="H42" i="15"/>
  <c r="I42" i="15" s="1"/>
  <c r="J42" i="15" s="1"/>
  <c r="J43" i="15" s="1"/>
  <c r="E14" i="19"/>
  <c r="X41" i="73"/>
  <c r="B66" i="56" s="1"/>
  <c r="L3" i="74"/>
  <c r="S14" i="74" s="1"/>
  <c r="L7" i="74"/>
  <c r="B3" i="74"/>
  <c r="I14" i="74" s="1"/>
  <c r="B7" i="74"/>
  <c r="DH46" i="73"/>
  <c r="CL43" i="73"/>
  <c r="B69" i="56" s="1"/>
  <c r="AT43" i="73"/>
  <c r="B41" i="73"/>
  <c r="B65" i="56" s="1"/>
  <c r="BP43" i="73"/>
  <c r="B68" i="56" s="1"/>
  <c r="CA43" i="73"/>
  <c r="CW46" i="73"/>
  <c r="B70" i="56" s="1"/>
  <c r="DS46" i="73"/>
  <c r="B71" i="56" s="1"/>
  <c r="EE46" i="73"/>
  <c r="B72" i="56" s="1"/>
  <c r="AI41" i="73"/>
  <c r="B67" i="56" s="1"/>
  <c r="BE43" i="73"/>
  <c r="M41" i="73"/>
  <c r="B64" i="56" s="1"/>
  <c r="F10" i="72"/>
  <c r="H75" i="56"/>
  <c r="E26" i="11"/>
  <c r="B27" i="11" s="1"/>
  <c r="M21" i="74"/>
  <c r="C21" i="74"/>
  <c r="E22" i="11"/>
  <c r="E23" i="11" s="1"/>
  <c r="E25" i="11" s="1"/>
  <c r="E28" i="11" s="1"/>
  <c r="F21" i="11" s="1"/>
  <c r="I23" i="51"/>
  <c r="B23" i="71"/>
  <c r="C21" i="71"/>
  <c r="B25" i="71"/>
  <c r="L25" i="71"/>
  <c r="L23" i="71"/>
  <c r="M21" i="71"/>
  <c r="F21" i="18"/>
  <c r="F22" i="18" s="1"/>
  <c r="F23" i="18" s="1"/>
  <c r="F25" i="18" s="1"/>
  <c r="F27" i="18" s="1"/>
  <c r="G21" i="18" s="1"/>
  <c r="G14" i="18" s="1"/>
  <c r="E24" i="18"/>
  <c r="H16" i="67"/>
  <c r="H14" i="67"/>
  <c r="I12" i="67"/>
  <c r="R16" i="67"/>
  <c r="R14" i="67"/>
  <c r="S12" i="67"/>
  <c r="P28" i="6"/>
  <c r="C52" i="5"/>
  <c r="G12" i="63"/>
  <c r="F16" i="63"/>
  <c r="F14" i="63"/>
  <c r="S12" i="63"/>
  <c r="R16" i="63"/>
  <c r="R14" i="63"/>
  <c r="M18" i="6"/>
  <c r="M19" i="6" s="1"/>
  <c r="M20" i="6" s="1"/>
  <c r="M21" i="6" s="1"/>
  <c r="N17" i="6" s="1"/>
  <c r="S51" i="6"/>
  <c r="S58" i="6" s="1"/>
  <c r="E22" i="10"/>
  <c r="E23" i="10" s="1"/>
  <c r="E25" i="10" s="1"/>
  <c r="E28" i="10" s="1"/>
  <c r="F21" i="10" s="1"/>
  <c r="F22" i="10" s="1"/>
  <c r="F23" i="10" s="1"/>
  <c r="F25" i="10" s="1"/>
  <c r="F28" i="10" s="1"/>
  <c r="G21" i="10" s="1"/>
  <c r="E14" i="10"/>
  <c r="S51" i="5"/>
  <c r="S7" i="5"/>
  <c r="T7" i="5"/>
  <c r="L22" i="5"/>
  <c r="N18" i="5"/>
  <c r="I7" i="49"/>
  <c r="I5" i="49"/>
  <c r="B12" i="49"/>
  <c r="E23" i="14"/>
  <c r="E25" i="14" s="1"/>
  <c r="E27" i="14" s="1"/>
  <c r="F21" i="14" s="1"/>
  <c r="E24" i="14"/>
  <c r="E23" i="19"/>
  <c r="E25" i="19" s="1"/>
  <c r="E27" i="19" s="1"/>
  <c r="F21" i="19" s="1"/>
  <c r="E24" i="19"/>
  <c r="C10" i="42"/>
  <c r="G10" i="42" s="1"/>
  <c r="B25" i="41"/>
  <c r="I22" i="41"/>
  <c r="M12" i="49"/>
  <c r="L14" i="49"/>
  <c r="L16" i="49"/>
  <c r="I26" i="41"/>
  <c r="C10" i="47"/>
  <c r="G10" i="47" s="1"/>
  <c r="B25" i="54"/>
  <c r="I22" i="54"/>
  <c r="H23" i="54"/>
  <c r="H23" i="41"/>
  <c r="R3" i="44"/>
  <c r="Q7" i="44"/>
  <c r="Q5" i="44"/>
  <c r="H3" i="44"/>
  <c r="G7" i="44"/>
  <c r="G5" i="44"/>
  <c r="E56" i="71"/>
  <c r="B102" i="56"/>
  <c r="K13" i="2"/>
  <c r="B42" i="72"/>
  <c r="B104" i="56"/>
  <c r="L3" i="56"/>
  <c r="B105" i="56"/>
  <c r="E56" i="49"/>
  <c r="L16" i="64"/>
  <c r="L20" i="51"/>
  <c r="E56" i="44"/>
  <c r="L11" i="54"/>
  <c r="L9" i="41"/>
  <c r="B103" i="56"/>
  <c r="E49" i="44"/>
  <c r="E49" i="49"/>
  <c r="L16" i="50"/>
  <c r="E49" i="71"/>
  <c r="L20" i="56"/>
  <c r="F14" i="2" l="1"/>
  <c r="F13" i="2"/>
  <c r="F17" i="2"/>
  <c r="G17" i="2"/>
  <c r="I25" i="5"/>
  <c r="F32" i="5" s="1"/>
  <c r="F11" i="2"/>
  <c r="I30" i="36"/>
  <c r="E22" i="15"/>
  <c r="E23" i="15" s="1"/>
  <c r="E25" i="15" s="1"/>
  <c r="E27" i="15" s="1"/>
  <c r="F21" i="15" s="1"/>
  <c r="E26" i="15"/>
  <c r="B27" i="15" s="1"/>
  <c r="E27" i="11"/>
  <c r="I24" i="6" a="1"/>
  <c r="I24" i="6" s="1"/>
  <c r="I25" i="6" s="1"/>
  <c r="F33" i="5" s="1"/>
  <c r="C39" i="36"/>
  <c r="C37" i="36"/>
  <c r="D35" i="36"/>
  <c r="B40" i="36"/>
  <c r="B41" i="36" s="1"/>
  <c r="P28" i="5"/>
  <c r="I19" i="19"/>
  <c r="J19" i="19" s="1"/>
  <c r="E14" i="15"/>
  <c r="G26" i="18"/>
  <c r="E24" i="11"/>
  <c r="C52" i="6"/>
  <c r="V69" i="6"/>
  <c r="H21" i="56"/>
  <c r="H22" i="56" s="1"/>
  <c r="F5" i="74"/>
  <c r="E14" i="74"/>
  <c r="I7" i="74"/>
  <c r="O14" i="74"/>
  <c r="R16" i="74"/>
  <c r="L16" i="74"/>
  <c r="S5" i="74"/>
  <c r="O5" i="74"/>
  <c r="Q5" i="74"/>
  <c r="G5" i="74"/>
  <c r="B23" i="74"/>
  <c r="L14" i="74"/>
  <c r="Q7" i="74"/>
  <c r="P5" i="74"/>
  <c r="P16" i="74"/>
  <c r="F16" i="74"/>
  <c r="N14" i="74"/>
  <c r="P14" i="74"/>
  <c r="S16" i="74"/>
  <c r="L23" i="74"/>
  <c r="M14" i="74"/>
  <c r="F7" i="74"/>
  <c r="B25" i="74"/>
  <c r="F14" i="74"/>
  <c r="D14" i="74"/>
  <c r="C5" i="74"/>
  <c r="D5" i="74"/>
  <c r="I5" i="74"/>
  <c r="M7" i="74"/>
  <c r="H14" i="74"/>
  <c r="C14" i="74"/>
  <c r="G14" i="74"/>
  <c r="B14" i="74"/>
  <c r="R7" i="74"/>
  <c r="N5" i="74"/>
  <c r="B16" i="74"/>
  <c r="E5" i="74"/>
  <c r="H5" i="74"/>
  <c r="D7" i="74"/>
  <c r="E16" i="74"/>
  <c r="Q14" i="74"/>
  <c r="O16" i="74"/>
  <c r="G7" i="74"/>
  <c r="C16" i="74"/>
  <c r="E7" i="74"/>
  <c r="B5" i="74"/>
  <c r="C7" i="74"/>
  <c r="B17" i="72"/>
  <c r="D17" i="72" s="1"/>
  <c r="L25" i="74"/>
  <c r="N7" i="74"/>
  <c r="P7" i="74"/>
  <c r="M5" i="74"/>
  <c r="G16" i="74"/>
  <c r="R14" i="74"/>
  <c r="L5" i="74"/>
  <c r="Q16" i="74"/>
  <c r="S7" i="74"/>
  <c r="H16" i="74"/>
  <c r="I16" i="74"/>
  <c r="N16" i="74"/>
  <c r="R5" i="74"/>
  <c r="M16" i="74"/>
  <c r="O7" i="74"/>
  <c r="H7" i="74"/>
  <c r="D16" i="74"/>
  <c r="D21" i="74"/>
  <c r="C25" i="74"/>
  <c r="C23" i="74"/>
  <c r="N21" i="74"/>
  <c r="M23" i="74"/>
  <c r="M25" i="74"/>
  <c r="G22" i="18"/>
  <c r="G24" i="18" s="1"/>
  <c r="B8" i="71"/>
  <c r="F17" i="71"/>
  <c r="L8" i="71"/>
  <c r="O8" i="71"/>
  <c r="E17" i="71"/>
  <c r="S8" i="71"/>
  <c r="H8" i="71"/>
  <c r="P17" i="71"/>
  <c r="I8" i="71"/>
  <c r="D8" i="71"/>
  <c r="B17" i="71"/>
  <c r="E8" i="71"/>
  <c r="D17" i="71"/>
  <c r="F8" i="71"/>
  <c r="G17" i="71"/>
  <c r="C17" i="71"/>
  <c r="N17" i="71"/>
  <c r="M17" i="71"/>
  <c r="L17" i="71"/>
  <c r="G8" i="71"/>
  <c r="M8" i="71"/>
  <c r="P8" i="71"/>
  <c r="C8" i="71"/>
  <c r="R8" i="71"/>
  <c r="Q8" i="71"/>
  <c r="O17" i="71"/>
  <c r="N8" i="71"/>
  <c r="Q17" i="71"/>
  <c r="H17" i="71"/>
  <c r="R17" i="71"/>
  <c r="I17" i="71"/>
  <c r="S17" i="71"/>
  <c r="M23" i="71"/>
  <c r="N21" i="71"/>
  <c r="M25" i="71"/>
  <c r="L26" i="71"/>
  <c r="B26" i="71"/>
  <c r="C23" i="71"/>
  <c r="D21" i="71"/>
  <c r="C25" i="71"/>
  <c r="F26" i="18"/>
  <c r="S16" i="67"/>
  <c r="S14" i="67"/>
  <c r="L21" i="67"/>
  <c r="I16" i="67"/>
  <c r="I14" i="67"/>
  <c r="B21" i="67"/>
  <c r="E24" i="10"/>
  <c r="F26" i="10"/>
  <c r="G14" i="63"/>
  <c r="G16" i="63"/>
  <c r="H12" i="63"/>
  <c r="S16" i="63"/>
  <c r="S14" i="63"/>
  <c r="L21" i="63"/>
  <c r="N14" i="6"/>
  <c r="N22" i="6" s="1"/>
  <c r="N18" i="6"/>
  <c r="S59" i="6"/>
  <c r="S69" i="6" s="1"/>
  <c r="N13" i="5"/>
  <c r="N19" i="5"/>
  <c r="N20" i="5" s="1"/>
  <c r="N21" i="5" s="1"/>
  <c r="O17" i="5" s="1"/>
  <c r="S58" i="5"/>
  <c r="S59" i="5"/>
  <c r="F22" i="11"/>
  <c r="F23" i="11" s="1"/>
  <c r="F25" i="11" s="1"/>
  <c r="F28" i="11" s="1"/>
  <c r="G21" i="11" s="1"/>
  <c r="F26" i="11"/>
  <c r="B16" i="49"/>
  <c r="B14" i="49"/>
  <c r="C12" i="49"/>
  <c r="G26" i="10"/>
  <c r="G27" i="10" s="1"/>
  <c r="G22" i="10"/>
  <c r="G14" i="10"/>
  <c r="F22" i="19"/>
  <c r="F23" i="19" s="1"/>
  <c r="F25" i="19" s="1"/>
  <c r="F27" i="19" s="1"/>
  <c r="G21" i="19" s="1"/>
  <c r="F26" i="19"/>
  <c r="F26" i="14"/>
  <c r="F22" i="14"/>
  <c r="F23" i="14" s="1"/>
  <c r="F25" i="14" s="1"/>
  <c r="F27" i="14" s="1"/>
  <c r="G21" i="14" s="1"/>
  <c r="E10" i="42"/>
  <c r="B8" i="49"/>
  <c r="D8" i="49"/>
  <c r="L8" i="49"/>
  <c r="C8" i="49"/>
  <c r="M8" i="49"/>
  <c r="E8" i="49"/>
  <c r="N8" i="49"/>
  <c r="F8" i="49"/>
  <c r="O8" i="49"/>
  <c r="P8" i="49"/>
  <c r="G8" i="49"/>
  <c r="Q8" i="49"/>
  <c r="H8" i="49"/>
  <c r="I8" i="49"/>
  <c r="R8" i="49"/>
  <c r="S8" i="49"/>
  <c r="L8" i="44"/>
  <c r="B8" i="44"/>
  <c r="M8" i="44"/>
  <c r="D8" i="44"/>
  <c r="P8" i="44"/>
  <c r="N8" i="44"/>
  <c r="F8" i="44"/>
  <c r="C8" i="44"/>
  <c r="O8" i="44"/>
  <c r="E8" i="44"/>
  <c r="I23" i="41"/>
  <c r="M16" i="49"/>
  <c r="M14" i="49"/>
  <c r="N12" i="49"/>
  <c r="L17" i="49"/>
  <c r="E10" i="47"/>
  <c r="I23" i="54"/>
  <c r="R7" i="44"/>
  <c r="R5" i="44"/>
  <c r="S3" i="44"/>
  <c r="Q8" i="44"/>
  <c r="G8" i="44"/>
  <c r="H7" i="44"/>
  <c r="H5" i="44"/>
  <c r="I3" i="44"/>
  <c r="B111" i="41"/>
  <c r="Q12" i="51"/>
  <c r="T12" i="51"/>
  <c r="T17" i="51"/>
  <c r="T19" i="51"/>
  <c r="L17" i="64"/>
  <c r="T3" i="41"/>
  <c r="Q3" i="54"/>
  <c r="T9" i="51"/>
  <c r="Q8" i="41"/>
  <c r="Q11" i="51"/>
  <c r="T11" i="51"/>
  <c r="T7" i="41"/>
  <c r="Q8" i="54"/>
  <c r="T6" i="51"/>
  <c r="B40" i="44"/>
  <c r="Q5" i="51"/>
  <c r="T16" i="51"/>
  <c r="Q4" i="51"/>
  <c r="E41" i="74"/>
  <c r="T5" i="51"/>
  <c r="B115" i="56"/>
  <c r="E51" i="74"/>
  <c r="B58" i="44"/>
  <c r="Q4" i="54"/>
  <c r="Q17" i="51"/>
  <c r="Q9" i="51"/>
  <c r="T6" i="54"/>
  <c r="Q8" i="51"/>
  <c r="Q13" i="51"/>
  <c r="Q4" i="41"/>
  <c r="T5" i="41"/>
  <c r="Q7" i="51"/>
  <c r="Q19" i="51"/>
  <c r="B110" i="51"/>
  <c r="Q7" i="41"/>
  <c r="B59" i="74"/>
  <c r="Q14" i="51"/>
  <c r="Q15" i="51"/>
  <c r="T7" i="51"/>
  <c r="L12" i="54"/>
  <c r="T8" i="54"/>
  <c r="L17" i="50"/>
  <c r="Q6" i="51"/>
  <c r="B111" i="51"/>
  <c r="Q9" i="54"/>
  <c r="Q6" i="54"/>
  <c r="T11" i="54"/>
  <c r="T8" i="51"/>
  <c r="T8" i="41"/>
  <c r="B111" i="54"/>
  <c r="T3" i="51"/>
  <c r="B59" i="44"/>
  <c r="K14" i="2"/>
  <c r="Q6" i="41"/>
  <c r="T13" i="51"/>
  <c r="T18" i="51"/>
  <c r="Q3" i="51"/>
  <c r="Q10" i="51"/>
  <c r="B35" i="74"/>
  <c r="T6" i="41"/>
  <c r="T15" i="51"/>
  <c r="T7" i="54"/>
  <c r="T14" i="51"/>
  <c r="T9" i="54"/>
  <c r="Q16" i="51"/>
  <c r="T10" i="54"/>
  <c r="Q3" i="41"/>
  <c r="B58" i="71"/>
  <c r="T10" i="51"/>
  <c r="T5" i="54"/>
  <c r="B110" i="54"/>
  <c r="Q7" i="54"/>
  <c r="L21" i="56"/>
  <c r="B123" i="54"/>
  <c r="T4" i="54"/>
  <c r="B110" i="41"/>
  <c r="Q5" i="41"/>
  <c r="L10" i="41"/>
  <c r="Q18" i="51"/>
  <c r="Q5" i="54"/>
  <c r="B40" i="49"/>
  <c r="B59" i="71"/>
  <c r="B118" i="56"/>
  <c r="B58" i="74"/>
  <c r="L21" i="51"/>
  <c r="B123" i="41"/>
  <c r="E42" i="72"/>
  <c r="T4" i="41"/>
  <c r="B59" i="49"/>
  <c r="T4" i="51"/>
  <c r="B58" i="49"/>
  <c r="B32" i="74"/>
  <c r="Q10" i="54"/>
  <c r="T3" i="54"/>
  <c r="F36" i="5" l="1"/>
  <c r="F10" i="2"/>
  <c r="F8" i="2"/>
  <c r="F9" i="2"/>
  <c r="F20" i="2"/>
  <c r="F7" i="2"/>
  <c r="F19" i="2"/>
  <c r="F16" i="2"/>
  <c r="E24" i="15"/>
  <c r="B42" i="36"/>
  <c r="B38" i="36"/>
  <c r="B36" i="36" s="1"/>
  <c r="D39" i="36"/>
  <c r="D37" i="36"/>
  <c r="E35" i="36"/>
  <c r="C40" i="36"/>
  <c r="C41" i="36" s="1"/>
  <c r="G77" i="56"/>
  <c r="H26" i="56"/>
  <c r="I26" i="56" s="1"/>
  <c r="C10" i="72"/>
  <c r="B25" i="56"/>
  <c r="I22" i="56"/>
  <c r="F29" i="72"/>
  <c r="G23" i="18"/>
  <c r="G25" i="18" s="1"/>
  <c r="G27" i="18" s="1"/>
  <c r="H21" i="18" s="1"/>
  <c r="D25" i="74"/>
  <c r="D23" i="74"/>
  <c r="E21" i="74"/>
  <c r="N25" i="74"/>
  <c r="N23" i="74"/>
  <c r="O21" i="74"/>
  <c r="S18" i="71"/>
  <c r="S19" i="71" s="1"/>
  <c r="C18" i="71"/>
  <c r="C19" i="71" s="1"/>
  <c r="I18" i="71"/>
  <c r="I15" i="71" s="1"/>
  <c r="I13" i="71" s="1"/>
  <c r="G18" i="71"/>
  <c r="G19" i="71" s="1"/>
  <c r="P9" i="71"/>
  <c r="P10" i="71" s="1"/>
  <c r="M9" i="71"/>
  <c r="M6" i="71" s="1"/>
  <c r="M4" i="71" s="1"/>
  <c r="L27" i="71"/>
  <c r="L28" i="71" s="1"/>
  <c r="Q18" i="71"/>
  <c r="Q15" i="71" s="1"/>
  <c r="Q13" i="71" s="1"/>
  <c r="G9" i="71"/>
  <c r="G10" i="71" s="1"/>
  <c r="E9" i="71"/>
  <c r="E6" i="71" s="1"/>
  <c r="E4" i="71" s="1"/>
  <c r="O9" i="71"/>
  <c r="O6" i="71" s="1"/>
  <c r="O4" i="71" s="1"/>
  <c r="P18" i="71"/>
  <c r="P19" i="71" s="1"/>
  <c r="S9" i="71"/>
  <c r="S6" i="71" s="1"/>
  <c r="S4" i="71" s="1"/>
  <c r="H18" i="71"/>
  <c r="H15" i="71" s="1"/>
  <c r="H13" i="71" s="1"/>
  <c r="E18" i="71"/>
  <c r="E15" i="71" s="1"/>
  <c r="E13" i="71" s="1"/>
  <c r="L18" i="71"/>
  <c r="L19" i="71" s="1"/>
  <c r="L9" i="71"/>
  <c r="O18" i="71"/>
  <c r="O15" i="71" s="1"/>
  <c r="O13" i="71" s="1"/>
  <c r="M18" i="71"/>
  <c r="M15" i="71" s="1"/>
  <c r="M13" i="71" s="1"/>
  <c r="D9" i="71"/>
  <c r="D10" i="71" s="1"/>
  <c r="F18" i="71"/>
  <c r="F15" i="71" s="1"/>
  <c r="F13" i="71" s="1"/>
  <c r="R9" i="71"/>
  <c r="R6" i="71" s="1"/>
  <c r="R4" i="71" s="1"/>
  <c r="C9" i="71"/>
  <c r="C6" i="71" s="1"/>
  <c r="C4" i="71" s="1"/>
  <c r="H9" i="71"/>
  <c r="H10" i="71" s="1"/>
  <c r="R18" i="71"/>
  <c r="R19" i="71" s="1"/>
  <c r="F9" i="71"/>
  <c r="F6" i="71" s="1"/>
  <c r="F4" i="71" s="1"/>
  <c r="B27" i="71"/>
  <c r="B28" i="71" s="1"/>
  <c r="D18" i="71"/>
  <c r="D15" i="71" s="1"/>
  <c r="D13" i="71" s="1"/>
  <c r="N9" i="71"/>
  <c r="N10" i="71" s="1"/>
  <c r="B18" i="71"/>
  <c r="B19" i="71" s="1"/>
  <c r="Q9" i="71"/>
  <c r="Q6" i="71" s="1"/>
  <c r="Q4" i="71" s="1"/>
  <c r="N18" i="71"/>
  <c r="N19" i="71" s="1"/>
  <c r="I9" i="71"/>
  <c r="I6" i="71" s="1"/>
  <c r="I4" i="71" s="1"/>
  <c r="B9" i="71"/>
  <c r="M26" i="71"/>
  <c r="C26" i="71"/>
  <c r="E21" i="71"/>
  <c r="D25" i="71"/>
  <c r="D23" i="71"/>
  <c r="O21" i="71"/>
  <c r="N23" i="71"/>
  <c r="N25" i="71"/>
  <c r="B25" i="67"/>
  <c r="B23" i="67"/>
  <c r="C21" i="67"/>
  <c r="L25" i="67"/>
  <c r="M21" i="67"/>
  <c r="L23" i="67"/>
  <c r="S63" i="6"/>
  <c r="C53" i="6"/>
  <c r="F52" i="6" s="1"/>
  <c r="H16" i="63"/>
  <c r="H14" i="63"/>
  <c r="I12" i="63"/>
  <c r="L23" i="63"/>
  <c r="M21" i="63"/>
  <c r="L25" i="63"/>
  <c r="R61" i="6"/>
  <c r="N19" i="6"/>
  <c r="N20" i="6" s="1"/>
  <c r="N21" i="6" s="1"/>
  <c r="O17" i="6" s="1"/>
  <c r="N13" i="6"/>
  <c r="S63" i="5"/>
  <c r="R61" i="5"/>
  <c r="C53" i="5"/>
  <c r="F52" i="5" s="1"/>
  <c r="S69" i="5"/>
  <c r="O18" i="5"/>
  <c r="O19" i="5" s="1"/>
  <c r="O20" i="5" s="1"/>
  <c r="O21" i="5" s="1"/>
  <c r="P17" i="5" s="1"/>
  <c r="O14" i="5"/>
  <c r="F22" i="15"/>
  <c r="F23" i="15" s="1"/>
  <c r="F25" i="15" s="1"/>
  <c r="F27" i="15" s="1"/>
  <c r="G21" i="15" s="1"/>
  <c r="F26" i="15"/>
  <c r="G22" i="11"/>
  <c r="G14" i="11"/>
  <c r="G26" i="11"/>
  <c r="G27" i="11" s="1"/>
  <c r="N9" i="44"/>
  <c r="N10" i="44" s="1"/>
  <c r="D9" i="44"/>
  <c r="D6" i="44" s="1"/>
  <c r="D4" i="44" s="1"/>
  <c r="B17" i="49"/>
  <c r="C16" i="49"/>
  <c r="C14" i="49"/>
  <c r="D12" i="49"/>
  <c r="H10" i="42"/>
  <c r="D29" i="42" s="1"/>
  <c r="L9" i="44"/>
  <c r="G23" i="10"/>
  <c r="G25" i="10" s="1"/>
  <c r="G28" i="10" s="1"/>
  <c r="H21" i="10" s="1"/>
  <c r="G24" i="10"/>
  <c r="G14" i="14"/>
  <c r="G22" i="14"/>
  <c r="G26" i="14"/>
  <c r="G22" i="19"/>
  <c r="G26" i="19"/>
  <c r="G14" i="19"/>
  <c r="M9" i="44"/>
  <c r="M10" i="44" s="1"/>
  <c r="B9" i="44"/>
  <c r="E9" i="44"/>
  <c r="E6" i="44" s="1"/>
  <c r="E4" i="44" s="1"/>
  <c r="S9" i="49"/>
  <c r="S10" i="49" s="1"/>
  <c r="F9" i="49"/>
  <c r="F10" i="49" s="1"/>
  <c r="L18" i="49"/>
  <c r="L19" i="49" s="1"/>
  <c r="R9" i="49"/>
  <c r="R10" i="49" s="1"/>
  <c r="N9" i="49"/>
  <c r="N10" i="49" s="1"/>
  <c r="Q9" i="49"/>
  <c r="Q10" i="49" s="1"/>
  <c r="C9" i="49"/>
  <c r="C10" i="49" s="1"/>
  <c r="G9" i="49"/>
  <c r="G10" i="49" s="1"/>
  <c r="L9" i="49"/>
  <c r="I9" i="49"/>
  <c r="I10" i="49" s="1"/>
  <c r="E9" i="49"/>
  <c r="E10" i="49" s="1"/>
  <c r="H9" i="49"/>
  <c r="H10" i="49" s="1"/>
  <c r="M9" i="49"/>
  <c r="M10" i="49" s="1"/>
  <c r="P9" i="49"/>
  <c r="P10" i="49" s="1"/>
  <c r="D9" i="49"/>
  <c r="D10" i="49" s="1"/>
  <c r="O9" i="49"/>
  <c r="O10" i="49" s="1"/>
  <c r="B9" i="49"/>
  <c r="H10" i="47"/>
  <c r="O9" i="44"/>
  <c r="O6" i="44" s="1"/>
  <c r="O4" i="44" s="1"/>
  <c r="F9" i="44"/>
  <c r="F10" i="44" s="1"/>
  <c r="P9" i="44"/>
  <c r="P10" i="44" s="1"/>
  <c r="O12" i="49"/>
  <c r="N16" i="49"/>
  <c r="N14" i="49"/>
  <c r="M17" i="49"/>
  <c r="C9" i="44"/>
  <c r="C6" i="44" s="1"/>
  <c r="C4" i="44" s="1"/>
  <c r="Q9" i="44"/>
  <c r="L12" i="44"/>
  <c r="S5" i="44"/>
  <c r="S7" i="44"/>
  <c r="I7" i="44"/>
  <c r="B12" i="44"/>
  <c r="I5" i="44"/>
  <c r="H8" i="44"/>
  <c r="R8" i="44"/>
  <c r="G9" i="44"/>
  <c r="B55" i="71"/>
  <c r="B55" i="74"/>
  <c r="O16" i="51"/>
  <c r="R9" i="54"/>
  <c r="N4" i="51"/>
  <c r="O7" i="41"/>
  <c r="O4" i="54"/>
  <c r="O11" i="51"/>
  <c r="B36" i="49"/>
  <c r="N16" i="51"/>
  <c r="L22" i="56"/>
  <c r="R11" i="51"/>
  <c r="O8" i="51"/>
  <c r="R4" i="41"/>
  <c r="L18" i="64"/>
  <c r="M14" i="51"/>
  <c r="R19" i="51"/>
  <c r="M7" i="51"/>
  <c r="O9" i="51"/>
  <c r="R4" i="54"/>
  <c r="M10" i="51"/>
  <c r="N14" i="51"/>
  <c r="O12" i="51"/>
  <c r="N10" i="51"/>
  <c r="B106" i="51"/>
  <c r="B107" i="41"/>
  <c r="B54" i="44"/>
  <c r="T20" i="51"/>
  <c r="O8" i="54"/>
  <c r="B107" i="51"/>
  <c r="E33" i="74"/>
  <c r="M13" i="51"/>
  <c r="E34" i="74"/>
  <c r="L22" i="51"/>
  <c r="B54" i="74"/>
  <c r="R17" i="51"/>
  <c r="R13" i="51"/>
  <c r="O7" i="54"/>
  <c r="R15" i="51"/>
  <c r="O10" i="54"/>
  <c r="T12" i="54"/>
  <c r="B43" i="47"/>
  <c r="B106" i="54"/>
  <c r="K15" i="2"/>
  <c r="N8" i="51"/>
  <c r="M15" i="51"/>
  <c r="B119" i="41"/>
  <c r="R18" i="51"/>
  <c r="B54" i="49"/>
  <c r="R8" i="54"/>
  <c r="R7" i="41"/>
  <c r="B55" i="44"/>
  <c r="O6" i="54"/>
  <c r="N6" i="51"/>
  <c r="Q11" i="54"/>
  <c r="R6" i="54"/>
  <c r="B106" i="41"/>
  <c r="R7" i="51"/>
  <c r="B119" i="54"/>
  <c r="O19" i="51"/>
  <c r="R7" i="54"/>
  <c r="B36" i="44"/>
  <c r="M6" i="51"/>
  <c r="R10" i="54"/>
  <c r="Q9" i="41"/>
  <c r="R11" i="54"/>
  <c r="M17" i="51"/>
  <c r="O9" i="54"/>
  <c r="O5" i="54"/>
  <c r="B43" i="42"/>
  <c r="R5" i="51"/>
  <c r="Q20" i="51"/>
  <c r="T9" i="41"/>
  <c r="M4" i="51"/>
  <c r="R5" i="54"/>
  <c r="M18" i="51"/>
  <c r="N9" i="51"/>
  <c r="L11" i="41"/>
  <c r="R5" i="41"/>
  <c r="L13" i="54"/>
  <c r="B54" i="71"/>
  <c r="L18" i="50"/>
  <c r="B55" i="49"/>
  <c r="E56" i="74"/>
  <c r="N12" i="51"/>
  <c r="B107" i="54"/>
  <c r="O5" i="51"/>
  <c r="F31" i="2" l="1"/>
  <c r="S13" i="51"/>
  <c r="S18" i="51"/>
  <c r="S17" i="51"/>
  <c r="S19" i="51"/>
  <c r="S15" i="51"/>
  <c r="S5" i="51"/>
  <c r="S7" i="51"/>
  <c r="S11" i="51"/>
  <c r="P19" i="51"/>
  <c r="P5" i="51"/>
  <c r="P9" i="51"/>
  <c r="P8" i="51"/>
  <c r="P12" i="51"/>
  <c r="P11" i="51"/>
  <c r="P16" i="51"/>
  <c r="S9" i="54"/>
  <c r="S8" i="54"/>
  <c r="S6" i="54"/>
  <c r="S10" i="54"/>
  <c r="S11" i="54"/>
  <c r="S5" i="54"/>
  <c r="S7" i="54"/>
  <c r="S4" i="54"/>
  <c r="P7" i="54"/>
  <c r="P8" i="54"/>
  <c r="P4" i="54"/>
  <c r="P10" i="54"/>
  <c r="P9" i="54"/>
  <c r="P5" i="54"/>
  <c r="P6" i="54"/>
  <c r="S5" i="41"/>
  <c r="S4" i="41"/>
  <c r="S7" i="41"/>
  <c r="P7" i="41"/>
  <c r="F35" i="36"/>
  <c r="E39" i="36"/>
  <c r="E37" i="36"/>
  <c r="C42" i="36"/>
  <c r="C38" i="36"/>
  <c r="C36" i="36" s="1"/>
  <c r="D40" i="36"/>
  <c r="D41" i="36" s="1"/>
  <c r="H23" i="56"/>
  <c r="O8" i="74"/>
  <c r="O9" i="74" s="1"/>
  <c r="B26" i="74"/>
  <c r="B27" i="74" s="1"/>
  <c r="N8" i="74"/>
  <c r="N9" i="74" s="1"/>
  <c r="R17" i="74"/>
  <c r="R18" i="74" s="1"/>
  <c r="G8" i="74"/>
  <c r="G9" i="74" s="1"/>
  <c r="L8" i="74"/>
  <c r="I8" i="74"/>
  <c r="I9" i="74" s="1"/>
  <c r="L17" i="74"/>
  <c r="L18" i="74" s="1"/>
  <c r="C17" i="74"/>
  <c r="C18" i="74" s="1"/>
  <c r="B17" i="74"/>
  <c r="B18" i="74" s="1"/>
  <c r="H8" i="74"/>
  <c r="H9" i="74" s="1"/>
  <c r="L26" i="74"/>
  <c r="L27" i="74" s="1"/>
  <c r="H17" i="74"/>
  <c r="H18" i="74" s="1"/>
  <c r="B8" i="74"/>
  <c r="Q17" i="74"/>
  <c r="Q18" i="74" s="1"/>
  <c r="P17" i="74"/>
  <c r="P18" i="74" s="1"/>
  <c r="D17" i="74"/>
  <c r="D18" i="74" s="1"/>
  <c r="C26" i="74"/>
  <c r="P8" i="74"/>
  <c r="P9" i="74" s="1"/>
  <c r="F8" i="74"/>
  <c r="O17" i="74"/>
  <c r="O18" i="74" s="1"/>
  <c r="Q8" i="74"/>
  <c r="Q9" i="74" s="1"/>
  <c r="R8" i="74"/>
  <c r="R9" i="74" s="1"/>
  <c r="I17" i="74"/>
  <c r="S8" i="74"/>
  <c r="S9" i="74" s="1"/>
  <c r="E8" i="74"/>
  <c r="E9" i="74" s="1"/>
  <c r="G17" i="74"/>
  <c r="G18" i="74" s="1"/>
  <c r="S17" i="74"/>
  <c r="F17" i="74"/>
  <c r="F18" i="74" s="1"/>
  <c r="M17" i="74"/>
  <c r="N17" i="74"/>
  <c r="N18" i="74" s="1"/>
  <c r="D8" i="74"/>
  <c r="E17" i="74"/>
  <c r="M8" i="74"/>
  <c r="M9" i="74" s="1"/>
  <c r="M26" i="74"/>
  <c r="C8" i="74"/>
  <c r="C9" i="74" s="1"/>
  <c r="E10" i="72"/>
  <c r="H10" i="72" s="1"/>
  <c r="G10" i="72"/>
  <c r="L6" i="71"/>
  <c r="F21" i="74"/>
  <c r="E25" i="74"/>
  <c r="E23" i="74"/>
  <c r="P21" i="74"/>
  <c r="O25" i="74"/>
  <c r="O23" i="74"/>
  <c r="D26" i="74"/>
  <c r="D27" i="74" s="1"/>
  <c r="N26" i="74"/>
  <c r="N27" i="74" s="1"/>
  <c r="H22" i="18"/>
  <c r="H23" i="18" s="1"/>
  <c r="H25" i="18" s="1"/>
  <c r="H27" i="18" s="1"/>
  <c r="I21" i="18" s="1"/>
  <c r="H26" i="18"/>
  <c r="B10" i="71"/>
  <c r="F10" i="71"/>
  <c r="B6" i="71"/>
  <c r="O19" i="71"/>
  <c r="C15" i="71"/>
  <c r="C13" i="71" s="1"/>
  <c r="L10" i="71"/>
  <c r="R15" i="71"/>
  <c r="R13" i="71" s="1"/>
  <c r="E10" i="71"/>
  <c r="S15" i="71"/>
  <c r="S13" i="71" s="1"/>
  <c r="I10" i="71"/>
  <c r="G6" i="71"/>
  <c r="G4" i="71" s="1"/>
  <c r="D6" i="71"/>
  <c r="D4" i="71" s="1"/>
  <c r="R10" i="71"/>
  <c r="N6" i="71"/>
  <c r="N4" i="71" s="1"/>
  <c r="F19" i="71"/>
  <c r="I19" i="71"/>
  <c r="M19" i="71"/>
  <c r="Q19" i="71"/>
  <c r="O10" i="71"/>
  <c r="B24" i="71"/>
  <c r="B22" i="71" s="1"/>
  <c r="P15" i="71"/>
  <c r="P13" i="71" s="1"/>
  <c r="H19" i="71"/>
  <c r="S10" i="71"/>
  <c r="Q10" i="71"/>
  <c r="D19" i="71"/>
  <c r="G15" i="71"/>
  <c r="G13" i="71" s="1"/>
  <c r="M10" i="71"/>
  <c r="L24" i="71"/>
  <c r="L22" i="71" s="1"/>
  <c r="H6" i="71"/>
  <c r="H4" i="71" s="1"/>
  <c r="B15" i="71"/>
  <c r="B13" i="71" s="1"/>
  <c r="E19" i="71"/>
  <c r="L15" i="71"/>
  <c r="L13" i="71" s="1"/>
  <c r="C27" i="71"/>
  <c r="C28" i="71" s="1"/>
  <c r="N15" i="71"/>
  <c r="N13" i="71" s="1"/>
  <c r="P6" i="71"/>
  <c r="P4" i="71" s="1"/>
  <c r="C10" i="71"/>
  <c r="M27" i="71"/>
  <c r="M28" i="71" s="1"/>
  <c r="N26" i="71"/>
  <c r="O25" i="71"/>
  <c r="P21" i="71"/>
  <c r="O23" i="71"/>
  <c r="D26" i="71"/>
  <c r="E23" i="71"/>
  <c r="F21" i="71"/>
  <c r="E25" i="71"/>
  <c r="N21" i="67"/>
  <c r="M25" i="67"/>
  <c r="M23" i="67"/>
  <c r="D21" i="67"/>
  <c r="C25" i="67"/>
  <c r="C23" i="67"/>
  <c r="B6" i="49"/>
  <c r="I14" i="63"/>
  <c r="B21" i="63"/>
  <c r="I16" i="63"/>
  <c r="D29" i="47"/>
  <c r="N21" i="63"/>
  <c r="M23" i="63"/>
  <c r="M25" i="63"/>
  <c r="O18" i="6"/>
  <c r="O19" i="6" s="1"/>
  <c r="O20" i="6" s="1"/>
  <c r="O21" i="6" s="1"/>
  <c r="P17" i="6" s="1"/>
  <c r="O14" i="6"/>
  <c r="P18" i="5"/>
  <c r="P14" i="5"/>
  <c r="P22" i="5" s="1"/>
  <c r="G22" i="15"/>
  <c r="G14" i="15"/>
  <c r="G26" i="15"/>
  <c r="G23" i="11"/>
  <c r="G25" i="11" s="1"/>
  <c r="G28" i="11" s="1"/>
  <c r="H21" i="11" s="1"/>
  <c r="G24" i="11"/>
  <c r="D10" i="44"/>
  <c r="N6" i="44"/>
  <c r="N4" i="44" s="1"/>
  <c r="B18" i="49"/>
  <c r="B19" i="49" s="1"/>
  <c r="C17" i="49"/>
  <c r="D16" i="49"/>
  <c r="E12" i="49"/>
  <c r="D14" i="49"/>
  <c r="D30" i="42"/>
  <c r="L10" i="44"/>
  <c r="B6" i="44"/>
  <c r="L6" i="44"/>
  <c r="B10" i="44"/>
  <c r="G23" i="19"/>
  <c r="G25" i="19" s="1"/>
  <c r="G27" i="19" s="1"/>
  <c r="H21" i="19" s="1"/>
  <c r="G24" i="19"/>
  <c r="G23" i="14"/>
  <c r="G25" i="14" s="1"/>
  <c r="G27" i="14" s="1"/>
  <c r="H21" i="14" s="1"/>
  <c r="G24" i="14"/>
  <c r="H26" i="10"/>
  <c r="H22" i="10"/>
  <c r="H23" i="10" s="1"/>
  <c r="H25" i="10" s="1"/>
  <c r="H28" i="10" s="1"/>
  <c r="I21" i="10" s="1"/>
  <c r="M6" i="44"/>
  <c r="M4" i="44" s="1"/>
  <c r="B36" i="42"/>
  <c r="E10" i="44"/>
  <c r="P6" i="49"/>
  <c r="P4" i="49" s="1"/>
  <c r="Q6" i="49"/>
  <c r="Q4" i="49" s="1"/>
  <c r="S6" i="49"/>
  <c r="S4" i="49" s="1"/>
  <c r="I6" i="49"/>
  <c r="I4" i="49" s="1"/>
  <c r="N6" i="49"/>
  <c r="N4" i="49" s="1"/>
  <c r="B36" i="47"/>
  <c r="O6" i="49"/>
  <c r="O4" i="49" s="1"/>
  <c r="M6" i="49"/>
  <c r="M4" i="49" s="1"/>
  <c r="F6" i="49"/>
  <c r="F4" i="49" s="1"/>
  <c r="H6" i="49"/>
  <c r="H4" i="49" s="1"/>
  <c r="G6" i="49"/>
  <c r="G4" i="49" s="1"/>
  <c r="M18" i="49"/>
  <c r="M19" i="49" s="1"/>
  <c r="D6" i="49"/>
  <c r="D4" i="49" s="1"/>
  <c r="E6" i="49"/>
  <c r="E4" i="49" s="1"/>
  <c r="C6" i="49"/>
  <c r="C4" i="49" s="1"/>
  <c r="L10" i="49"/>
  <c r="L15" i="49"/>
  <c r="L13" i="49" s="1"/>
  <c r="L6" i="49"/>
  <c r="B10" i="49"/>
  <c r="R6" i="49"/>
  <c r="R4" i="49" s="1"/>
  <c r="D30" i="47"/>
  <c r="O10" i="44"/>
  <c r="C10" i="44"/>
  <c r="F6" i="44"/>
  <c r="F4" i="44" s="1"/>
  <c r="N17" i="49"/>
  <c r="P6" i="44"/>
  <c r="P4" i="44" s="1"/>
  <c r="O16" i="49"/>
  <c r="O14" i="49"/>
  <c r="P12" i="49"/>
  <c r="I8" i="44"/>
  <c r="L16" i="44"/>
  <c r="L14" i="44"/>
  <c r="M12" i="44"/>
  <c r="Q10" i="44"/>
  <c r="Q6" i="44"/>
  <c r="Q4" i="44" s="1"/>
  <c r="H9" i="44"/>
  <c r="R9" i="44"/>
  <c r="S8" i="44"/>
  <c r="G10" i="44"/>
  <c r="G6" i="44"/>
  <c r="G4" i="44" s="1"/>
  <c r="B14" i="44"/>
  <c r="B16" i="44"/>
  <c r="C12" i="44"/>
  <c r="O11" i="54"/>
  <c r="O15" i="51"/>
  <c r="O7" i="51"/>
  <c r="R9" i="51"/>
  <c r="N7" i="54"/>
  <c r="T14" i="56"/>
  <c r="M16" i="51"/>
  <c r="Q10" i="56"/>
  <c r="T8" i="56"/>
  <c r="M6" i="54"/>
  <c r="N9" i="54"/>
  <c r="B117" i="54"/>
  <c r="B108" i="54"/>
  <c r="L19" i="64"/>
  <c r="R16" i="51"/>
  <c r="R3" i="41"/>
  <c r="N17" i="51"/>
  <c r="B108" i="41"/>
  <c r="O5" i="41"/>
  <c r="O20" i="51"/>
  <c r="B39" i="44"/>
  <c r="R20" i="51"/>
  <c r="L14" i="54"/>
  <c r="T6" i="56"/>
  <c r="B122" i="54"/>
  <c r="B109" i="54"/>
  <c r="N18" i="51"/>
  <c r="T13" i="56"/>
  <c r="T10" i="41"/>
  <c r="R6" i="51"/>
  <c r="T11" i="56"/>
  <c r="Q16" i="56"/>
  <c r="E49" i="74"/>
  <c r="T4" i="56"/>
  <c r="B109" i="51"/>
  <c r="Q18" i="56"/>
  <c r="M8" i="41"/>
  <c r="Q6" i="56"/>
  <c r="R10" i="51"/>
  <c r="Q7" i="56"/>
  <c r="T12" i="56"/>
  <c r="Q5" i="56"/>
  <c r="M19" i="51"/>
  <c r="K16" i="2"/>
  <c r="B56" i="71"/>
  <c r="N11" i="51"/>
  <c r="M7" i="54"/>
  <c r="N4" i="41"/>
  <c r="M8" i="54"/>
  <c r="B109" i="41"/>
  <c r="T3" i="56"/>
  <c r="R6" i="41"/>
  <c r="O13" i="51"/>
  <c r="N5" i="51"/>
  <c r="B111" i="56"/>
  <c r="B122" i="41"/>
  <c r="R8" i="51"/>
  <c r="M6" i="41"/>
  <c r="N7" i="51"/>
  <c r="O3" i="41"/>
  <c r="O18" i="51"/>
  <c r="R4" i="51"/>
  <c r="R14" i="51"/>
  <c r="L12" i="41"/>
  <c r="N8" i="54"/>
  <c r="M9" i="51"/>
  <c r="M9" i="54"/>
  <c r="T10" i="56"/>
  <c r="Q15" i="56"/>
  <c r="T16" i="56"/>
  <c r="M4" i="41"/>
  <c r="B57" i="71"/>
  <c r="O14" i="51"/>
  <c r="R8" i="41"/>
  <c r="B34" i="44"/>
  <c r="M5" i="51"/>
  <c r="Q20" i="56"/>
  <c r="T15" i="56"/>
  <c r="N7" i="41"/>
  <c r="T20" i="56"/>
  <c r="O6" i="41"/>
  <c r="M12" i="51"/>
  <c r="B56" i="44"/>
  <c r="B56" i="49"/>
  <c r="O10" i="51"/>
  <c r="N19" i="51"/>
  <c r="N5" i="54"/>
  <c r="L19" i="50"/>
  <c r="T7" i="56"/>
  <c r="Q17" i="56"/>
  <c r="N13" i="51"/>
  <c r="Q4" i="56"/>
  <c r="M8" i="51"/>
  <c r="Q13" i="56"/>
  <c r="T19" i="56"/>
  <c r="Q21" i="51"/>
  <c r="N8" i="41"/>
  <c r="Q12" i="54"/>
  <c r="B57" i="44"/>
  <c r="Q10" i="41"/>
  <c r="N6" i="41"/>
  <c r="R12" i="51"/>
  <c r="B56" i="74"/>
  <c r="N4" i="54"/>
  <c r="T21" i="51"/>
  <c r="M7" i="41"/>
  <c r="Q14" i="56"/>
  <c r="N10" i="54"/>
  <c r="T21" i="56"/>
  <c r="O8" i="41"/>
  <c r="O4" i="51"/>
  <c r="B57" i="49"/>
  <c r="L23" i="51"/>
  <c r="R12" i="54"/>
  <c r="O3" i="51"/>
  <c r="O3" i="54"/>
  <c r="M5" i="54"/>
  <c r="B57" i="74"/>
  <c r="T18" i="56"/>
  <c r="B34" i="49"/>
  <c r="L23" i="56"/>
  <c r="M4" i="54"/>
  <c r="Q12" i="56"/>
  <c r="R3" i="51"/>
  <c r="Q21" i="56"/>
  <c r="T9" i="56"/>
  <c r="B108" i="51"/>
  <c r="T13" i="54"/>
  <c r="Q11" i="56"/>
  <c r="N5" i="41"/>
  <c r="B117" i="41"/>
  <c r="N11" i="54"/>
  <c r="B110" i="56"/>
  <c r="O17" i="51"/>
  <c r="O6" i="51"/>
  <c r="N15" i="51"/>
  <c r="Q19" i="56"/>
  <c r="Q3" i="56"/>
  <c r="O4" i="41"/>
  <c r="N6" i="54"/>
  <c r="B39" i="49"/>
  <c r="R3" i="54"/>
  <c r="Q8" i="56"/>
  <c r="T17" i="56"/>
  <c r="M5" i="41"/>
  <c r="Q9" i="56"/>
  <c r="M10" i="54"/>
  <c r="M11" i="51"/>
  <c r="T5" i="56"/>
  <c r="F35" i="2" l="1"/>
  <c r="F34" i="2"/>
  <c r="F33" i="2"/>
  <c r="F36" i="2"/>
  <c r="F32" i="2"/>
  <c r="F29" i="2"/>
  <c r="F30" i="2"/>
  <c r="S4" i="51"/>
  <c r="S12" i="51"/>
  <c r="S20" i="51"/>
  <c r="S14" i="51"/>
  <c r="S10" i="51"/>
  <c r="S6" i="51"/>
  <c r="S16" i="51"/>
  <c r="S9" i="51"/>
  <c r="S8" i="51"/>
  <c r="S3" i="51"/>
  <c r="P14" i="51"/>
  <c r="P20" i="51"/>
  <c r="P7" i="51"/>
  <c r="P17" i="51"/>
  <c r="P10" i="51"/>
  <c r="P13" i="51"/>
  <c r="P4" i="51"/>
  <c r="P15" i="51"/>
  <c r="P18" i="51"/>
  <c r="P6" i="51"/>
  <c r="P3" i="51"/>
  <c r="S12" i="54"/>
  <c r="P11" i="54"/>
  <c r="S3" i="54"/>
  <c r="P3" i="54"/>
  <c r="S6" i="41"/>
  <c r="S8" i="41"/>
  <c r="S3" i="41"/>
  <c r="P6" i="41"/>
  <c r="P8" i="41"/>
  <c r="P5" i="41"/>
  <c r="P4" i="41"/>
  <c r="P3" i="41"/>
  <c r="E40" i="36"/>
  <c r="E41" i="36" s="1"/>
  <c r="D42" i="36"/>
  <c r="D38" i="36"/>
  <c r="D36" i="36" s="1"/>
  <c r="F39" i="36"/>
  <c r="F37" i="36"/>
  <c r="G35" i="36"/>
  <c r="I23" i="56"/>
  <c r="B9" i="74"/>
  <c r="L9" i="74"/>
  <c r="D29" i="72"/>
  <c r="D30" i="72"/>
  <c r="D9" i="74"/>
  <c r="D10" i="74" s="1"/>
  <c r="S18" i="74"/>
  <c r="F9" i="74"/>
  <c r="M27" i="74"/>
  <c r="M18" i="74"/>
  <c r="M15" i="74" s="1"/>
  <c r="M13" i="74" s="1"/>
  <c r="C27" i="74"/>
  <c r="I18" i="74"/>
  <c r="E18" i="74"/>
  <c r="I10" i="74"/>
  <c r="I6" i="74"/>
  <c r="I4" i="74" s="1"/>
  <c r="O19" i="74"/>
  <c r="O15" i="74"/>
  <c r="O13" i="74" s="1"/>
  <c r="S6" i="74"/>
  <c r="S4" i="74" s="1"/>
  <c r="S10" i="74"/>
  <c r="F19" i="74"/>
  <c r="F15" i="74"/>
  <c r="F13" i="74" s="1"/>
  <c r="R15" i="74"/>
  <c r="R13" i="74" s="1"/>
  <c r="R19" i="74"/>
  <c r="G10" i="74"/>
  <c r="G6" i="74"/>
  <c r="G4" i="74" s="1"/>
  <c r="L19" i="74"/>
  <c r="L15" i="74"/>
  <c r="L13" i="74" s="1"/>
  <c r="O10" i="74"/>
  <c r="O6" i="74"/>
  <c r="O4" i="74" s="1"/>
  <c r="Q15" i="74"/>
  <c r="Q13" i="74" s="1"/>
  <c r="Q19" i="74"/>
  <c r="Q10" i="74"/>
  <c r="Q6" i="74"/>
  <c r="Q4" i="74" s="1"/>
  <c r="E10" i="74"/>
  <c r="E6" i="74"/>
  <c r="E4" i="74" s="1"/>
  <c r="L28" i="74"/>
  <c r="L24" i="74"/>
  <c r="L22" i="74" s="1"/>
  <c r="B28" i="74"/>
  <c r="B24" i="74"/>
  <c r="B22" i="74" s="1"/>
  <c r="C10" i="74"/>
  <c r="C6" i="74"/>
  <c r="C4" i="74" s="1"/>
  <c r="C19" i="74"/>
  <c r="C15" i="74"/>
  <c r="C13" i="74" s="1"/>
  <c r="P19" i="74"/>
  <c r="P15" i="74"/>
  <c r="P13" i="74" s="1"/>
  <c r="N15" i="74"/>
  <c r="N13" i="74" s="1"/>
  <c r="N19" i="74"/>
  <c r="P6" i="74"/>
  <c r="P4" i="74" s="1"/>
  <c r="P10" i="74"/>
  <c r="N10" i="74"/>
  <c r="N6" i="74"/>
  <c r="N4" i="74" s="1"/>
  <c r="H15" i="74"/>
  <c r="H13" i="74" s="1"/>
  <c r="H19" i="74"/>
  <c r="B19" i="74"/>
  <c r="B15" i="74"/>
  <c r="B13" i="74" s="1"/>
  <c r="R6" i="74"/>
  <c r="R4" i="74" s="1"/>
  <c r="R10" i="74"/>
  <c r="M10" i="74"/>
  <c r="M6" i="74"/>
  <c r="M4" i="74" s="1"/>
  <c r="D19" i="74"/>
  <c r="D15" i="74"/>
  <c r="D13" i="74" s="1"/>
  <c r="G19" i="74"/>
  <c r="G15" i="74"/>
  <c r="G13" i="74" s="1"/>
  <c r="H10" i="74"/>
  <c r="H6" i="74"/>
  <c r="H4" i="74" s="1"/>
  <c r="I22" i="18"/>
  <c r="I14" i="18"/>
  <c r="I26" i="18"/>
  <c r="Q21" i="74"/>
  <c r="P25" i="74"/>
  <c r="P23" i="74"/>
  <c r="O26" i="74"/>
  <c r="O27" i="74" s="1"/>
  <c r="B4" i="71"/>
  <c r="N24" i="74"/>
  <c r="N22" i="74" s="1"/>
  <c r="N28" i="74"/>
  <c r="G21" i="74"/>
  <c r="F25" i="74"/>
  <c r="F23" i="74"/>
  <c r="L4" i="71"/>
  <c r="D28" i="74"/>
  <c r="D24" i="74"/>
  <c r="D22" i="74" s="1"/>
  <c r="E26" i="74"/>
  <c r="E27" i="74" s="1"/>
  <c r="M24" i="71"/>
  <c r="M22" i="71" s="1"/>
  <c r="D27" i="71"/>
  <c r="D24" i="71" s="1"/>
  <c r="D22" i="71" s="1"/>
  <c r="C24" i="71"/>
  <c r="C22" i="71" s="1"/>
  <c r="N27" i="71"/>
  <c r="N28" i="71" s="1"/>
  <c r="O26" i="71"/>
  <c r="E26" i="71"/>
  <c r="B4" i="49"/>
  <c r="Q21" i="71"/>
  <c r="P25" i="71"/>
  <c r="P23" i="71"/>
  <c r="G21" i="71"/>
  <c r="F25" i="71"/>
  <c r="F23" i="71"/>
  <c r="E21" i="67"/>
  <c r="D25" i="67"/>
  <c r="D23" i="67"/>
  <c r="O21" i="67"/>
  <c r="N25" i="67"/>
  <c r="N23" i="67"/>
  <c r="C21" i="63"/>
  <c r="B23" i="63"/>
  <c r="B25" i="63"/>
  <c r="N25" i="63"/>
  <c r="N23" i="63"/>
  <c r="O21" i="63"/>
  <c r="P18" i="6"/>
  <c r="P14" i="6"/>
  <c r="P22" i="6" s="1"/>
  <c r="P19" i="5"/>
  <c r="P20" i="5" s="1"/>
  <c r="P21" i="5" s="1"/>
  <c r="P13" i="5"/>
  <c r="G24" i="15"/>
  <c r="G23" i="15"/>
  <c r="G25" i="15" s="1"/>
  <c r="G27" i="15" s="1"/>
  <c r="H21" i="15" s="1"/>
  <c r="H22" i="11"/>
  <c r="H23" i="11" s="1"/>
  <c r="H25" i="11" s="1"/>
  <c r="H28" i="11" s="1"/>
  <c r="I21" i="11" s="1"/>
  <c r="H26" i="11"/>
  <c r="B15" i="49"/>
  <c r="B13" i="49" s="1"/>
  <c r="C18" i="49"/>
  <c r="C19" i="49" s="1"/>
  <c r="E14" i="49"/>
  <c r="F12" i="49"/>
  <c r="E16" i="49"/>
  <c r="D17" i="49"/>
  <c r="H24" i="54"/>
  <c r="H24" i="51"/>
  <c r="H24" i="41"/>
  <c r="H25" i="51"/>
  <c r="B4" i="44"/>
  <c r="F33" i="42"/>
  <c r="L4" i="44"/>
  <c r="H25" i="41"/>
  <c r="M11" i="54"/>
  <c r="T22" i="51"/>
  <c r="O5" i="56"/>
  <c r="R16" i="56"/>
  <c r="N19" i="56"/>
  <c r="M21" i="56"/>
  <c r="M9" i="56"/>
  <c r="N17" i="56"/>
  <c r="L24" i="51"/>
  <c r="O9" i="56"/>
  <c r="M12" i="56"/>
  <c r="R9" i="56"/>
  <c r="O13" i="56"/>
  <c r="N14" i="56"/>
  <c r="R21" i="56"/>
  <c r="B38" i="44"/>
  <c r="B121" i="41"/>
  <c r="O19" i="56"/>
  <c r="M16" i="56"/>
  <c r="R14" i="56"/>
  <c r="R13" i="56"/>
  <c r="O8" i="56"/>
  <c r="O11" i="56"/>
  <c r="O4" i="56"/>
  <c r="N9" i="56"/>
  <c r="R5" i="56"/>
  <c r="M19" i="56"/>
  <c r="E53" i="44"/>
  <c r="M3" i="54"/>
  <c r="M3" i="41"/>
  <c r="R10" i="56"/>
  <c r="R21" i="51"/>
  <c r="O17" i="56"/>
  <c r="N13" i="56"/>
  <c r="B106" i="56"/>
  <c r="R6" i="56"/>
  <c r="E52" i="71"/>
  <c r="O6" i="56"/>
  <c r="R4" i="56"/>
  <c r="R17" i="56"/>
  <c r="T22" i="56"/>
  <c r="B43" i="72"/>
  <c r="N11" i="56"/>
  <c r="R19" i="56"/>
  <c r="O16" i="56"/>
  <c r="L20" i="64"/>
  <c r="E52" i="49"/>
  <c r="N6" i="56"/>
  <c r="N4" i="56"/>
  <c r="M6" i="56"/>
  <c r="N16" i="56"/>
  <c r="M3" i="51"/>
  <c r="L24" i="56"/>
  <c r="O12" i="54"/>
  <c r="M20" i="51"/>
  <c r="M4" i="56"/>
  <c r="Q22" i="56"/>
  <c r="M11" i="56"/>
  <c r="O15" i="56"/>
  <c r="R8" i="56"/>
  <c r="R7" i="56"/>
  <c r="L20" i="50"/>
  <c r="O12" i="56"/>
  <c r="N20" i="51"/>
  <c r="M17" i="56"/>
  <c r="R11" i="56"/>
  <c r="N12" i="56"/>
  <c r="N3" i="51"/>
  <c r="B107" i="56"/>
  <c r="N5" i="56"/>
  <c r="Q22" i="51"/>
  <c r="N15" i="56"/>
  <c r="K17" i="2"/>
  <c r="M8" i="56"/>
  <c r="M13" i="56"/>
  <c r="M21" i="51"/>
  <c r="L15" i="54"/>
  <c r="M15" i="56"/>
  <c r="N7" i="56"/>
  <c r="O10" i="56"/>
  <c r="Q13" i="54"/>
  <c r="M10" i="56"/>
  <c r="R15" i="56"/>
  <c r="N8" i="56"/>
  <c r="E52" i="44"/>
  <c r="N10" i="56"/>
  <c r="S21" i="51" l="1"/>
  <c r="S8" i="56"/>
  <c r="S6" i="56"/>
  <c r="S4" i="56"/>
  <c r="S14" i="56"/>
  <c r="S16" i="56"/>
  <c r="S21" i="56"/>
  <c r="S7" i="56"/>
  <c r="S5" i="56"/>
  <c r="S10" i="56"/>
  <c r="S9" i="56"/>
  <c r="S13" i="56"/>
  <c r="S15" i="56"/>
  <c r="S17" i="56"/>
  <c r="S19" i="56"/>
  <c r="S11" i="56"/>
  <c r="P19" i="56"/>
  <c r="P15" i="56"/>
  <c r="P11" i="56"/>
  <c r="P13" i="56"/>
  <c r="P12" i="56"/>
  <c r="P9" i="56"/>
  <c r="P10" i="56"/>
  <c r="P16" i="56"/>
  <c r="P8" i="56"/>
  <c r="P6" i="56"/>
  <c r="P5" i="56"/>
  <c r="P17" i="56"/>
  <c r="P4" i="56"/>
  <c r="P12" i="54"/>
  <c r="F40" i="36"/>
  <c r="F41" i="36" s="1"/>
  <c r="G39" i="36"/>
  <c r="G37" i="36"/>
  <c r="H35" i="36"/>
  <c r="E38" i="36"/>
  <c r="E36" i="36" s="1"/>
  <c r="E42" i="36"/>
  <c r="V2" i="51"/>
  <c r="J1" i="41"/>
  <c r="M19" i="74"/>
  <c r="B36" i="72"/>
  <c r="F33" i="72" s="1"/>
  <c r="S15" i="74"/>
  <c r="S13" i="74" s="1"/>
  <c r="S19" i="74"/>
  <c r="M28" i="74"/>
  <c r="M24" i="74"/>
  <c r="M22" i="74" s="1"/>
  <c r="F10" i="74"/>
  <c r="F6" i="74"/>
  <c r="F4" i="74" s="1"/>
  <c r="D6" i="74"/>
  <c r="D4" i="74" s="1"/>
  <c r="I19" i="74"/>
  <c r="I15" i="74"/>
  <c r="I13" i="74" s="1"/>
  <c r="C24" i="74"/>
  <c r="C22" i="74" s="1"/>
  <c r="C28" i="74"/>
  <c r="L10" i="74"/>
  <c r="L6" i="74"/>
  <c r="E19" i="74"/>
  <c r="E15" i="74"/>
  <c r="E13" i="74" s="1"/>
  <c r="B10" i="74"/>
  <c r="B6" i="74"/>
  <c r="O28" i="74"/>
  <c r="O24" i="74"/>
  <c r="O22" i="74" s="1"/>
  <c r="F26" i="74"/>
  <c r="F27" i="74" s="1"/>
  <c r="P26" i="74"/>
  <c r="P27" i="74" s="1"/>
  <c r="I25" i="51"/>
  <c r="G25" i="74"/>
  <c r="G23" i="74"/>
  <c r="H21" i="74"/>
  <c r="Q25" i="74"/>
  <c r="Q23" i="74"/>
  <c r="R21" i="74"/>
  <c r="E28" i="74"/>
  <c r="E24" i="74"/>
  <c r="E22" i="74" s="1"/>
  <c r="I24" i="18"/>
  <c r="I23" i="18"/>
  <c r="I25" i="18" s="1"/>
  <c r="I27" i="18" s="1"/>
  <c r="J21" i="18" s="1"/>
  <c r="J22" i="18" s="1"/>
  <c r="J23" i="18" s="1"/>
  <c r="J25" i="18" s="1"/>
  <c r="J27" i="18" s="1"/>
  <c r="D28" i="71"/>
  <c r="O27" i="71"/>
  <c r="O28" i="71" s="1"/>
  <c r="N24" i="71"/>
  <c r="N22" i="71" s="1"/>
  <c r="E27" i="71"/>
  <c r="E28" i="71" s="1"/>
  <c r="F26" i="71"/>
  <c r="Q25" i="71"/>
  <c r="Q23" i="71"/>
  <c r="R21" i="71"/>
  <c r="G25" i="71"/>
  <c r="G23" i="71"/>
  <c r="H21" i="71"/>
  <c r="P26" i="71"/>
  <c r="F21" i="67"/>
  <c r="E25" i="67"/>
  <c r="E23" i="67"/>
  <c r="P21" i="67"/>
  <c r="O25" i="67"/>
  <c r="O23" i="67"/>
  <c r="D21" i="63"/>
  <c r="C25" i="63"/>
  <c r="C23" i="63"/>
  <c r="P21" i="63"/>
  <c r="O25" i="63"/>
  <c r="O23" i="63"/>
  <c r="P13" i="6"/>
  <c r="P19" i="6"/>
  <c r="P20" i="6" s="1"/>
  <c r="P21" i="6" s="1"/>
  <c r="H22" i="15"/>
  <c r="H23" i="15" s="1"/>
  <c r="H25" i="15" s="1"/>
  <c r="H27" i="15" s="1"/>
  <c r="I21" i="15" s="1"/>
  <c r="I26" i="15" s="1"/>
  <c r="H26" i="15"/>
  <c r="I22" i="11"/>
  <c r="I14" i="11"/>
  <c r="I26" i="11"/>
  <c r="I27" i="11" s="1"/>
  <c r="C15" i="49"/>
  <c r="C13" i="49" s="1"/>
  <c r="D18" i="49"/>
  <c r="D19" i="49" s="1"/>
  <c r="E17" i="49"/>
  <c r="F14" i="49"/>
  <c r="G12" i="49"/>
  <c r="F16" i="49"/>
  <c r="H26" i="19"/>
  <c r="H22" i="19"/>
  <c r="H23" i="19" s="1"/>
  <c r="H25" i="19" s="1"/>
  <c r="H27" i="19" s="1"/>
  <c r="I21" i="19" s="1"/>
  <c r="H26" i="14"/>
  <c r="H22" i="14"/>
  <c r="H23" i="14" s="1"/>
  <c r="H25" i="14" s="1"/>
  <c r="H27" i="14" s="1"/>
  <c r="I21" i="14" s="1"/>
  <c r="I14" i="10"/>
  <c r="I26" i="10"/>
  <c r="I27" i="10" s="1"/>
  <c r="I22" i="10"/>
  <c r="F37" i="42"/>
  <c r="F37" i="47"/>
  <c r="H25" i="54"/>
  <c r="J1" i="54" s="1"/>
  <c r="N18" i="49"/>
  <c r="N19" i="49" s="1"/>
  <c r="L4" i="49"/>
  <c r="M15" i="49"/>
  <c r="M13" i="49" s="1"/>
  <c r="I24" i="54"/>
  <c r="F33" i="47"/>
  <c r="O17" i="49"/>
  <c r="Q12" i="49"/>
  <c r="P16" i="49"/>
  <c r="P14" i="49"/>
  <c r="H19" i="41"/>
  <c r="I25" i="41"/>
  <c r="I24" i="51"/>
  <c r="I24" i="41"/>
  <c r="M16" i="44"/>
  <c r="N12" i="44"/>
  <c r="M14" i="44"/>
  <c r="C14" i="44"/>
  <c r="C16" i="44"/>
  <c r="D12" i="44"/>
  <c r="L17" i="44"/>
  <c r="H10" i="44"/>
  <c r="H6" i="44"/>
  <c r="H4" i="44" s="1"/>
  <c r="I9" i="44"/>
  <c r="B17" i="44"/>
  <c r="S9" i="44"/>
  <c r="R10" i="44"/>
  <c r="R6" i="44"/>
  <c r="R4" i="44" s="1"/>
  <c r="N20" i="56"/>
  <c r="L21" i="50"/>
  <c r="B38" i="49"/>
  <c r="B109" i="56"/>
  <c r="N3" i="41"/>
  <c r="B121" i="54"/>
  <c r="M5" i="56"/>
  <c r="R3" i="56"/>
  <c r="M14" i="56"/>
  <c r="Q23" i="56"/>
  <c r="O22" i="56"/>
  <c r="R20" i="56"/>
  <c r="N3" i="54"/>
  <c r="O18" i="56"/>
  <c r="L25" i="56"/>
  <c r="M12" i="54"/>
  <c r="O21" i="51"/>
  <c r="R22" i="56"/>
  <c r="N21" i="56"/>
  <c r="B108" i="56"/>
  <c r="L21" i="64"/>
  <c r="E53" i="71"/>
  <c r="O13" i="54"/>
  <c r="L16" i="54"/>
  <c r="O20" i="56"/>
  <c r="R13" i="54"/>
  <c r="T23" i="51"/>
  <c r="M7" i="56"/>
  <c r="N12" i="54"/>
  <c r="M20" i="56"/>
  <c r="E53" i="49"/>
  <c r="R22" i="51"/>
  <c r="M9" i="41"/>
  <c r="O9" i="41"/>
  <c r="Q23" i="51"/>
  <c r="N9" i="41"/>
  <c r="Q11" i="41"/>
  <c r="R18" i="56"/>
  <c r="O21" i="56"/>
  <c r="O7" i="56"/>
  <c r="N18" i="56"/>
  <c r="O14" i="56"/>
  <c r="R9" i="41"/>
  <c r="T11" i="41"/>
  <c r="T14" i="54"/>
  <c r="T23" i="56"/>
  <c r="O3" i="56"/>
  <c r="M18" i="56"/>
  <c r="L25" i="51"/>
  <c r="R12" i="56"/>
  <c r="O22" i="51"/>
  <c r="N21" i="51"/>
  <c r="Q14" i="54"/>
  <c r="L13" i="41"/>
  <c r="S22" i="51" l="1"/>
  <c r="P21" i="51"/>
  <c r="P22" i="51"/>
  <c r="S20" i="56"/>
  <c r="S22" i="56"/>
  <c r="S12" i="56"/>
  <c r="S18" i="56"/>
  <c r="P20" i="56"/>
  <c r="P18" i="56"/>
  <c r="P22" i="56"/>
  <c r="P7" i="56"/>
  <c r="P21" i="56"/>
  <c r="P14" i="56"/>
  <c r="S3" i="56"/>
  <c r="P3" i="56"/>
  <c r="S13" i="54"/>
  <c r="P13" i="54"/>
  <c r="S9" i="41"/>
  <c r="P9" i="41"/>
  <c r="G40" i="36"/>
  <c r="G41" i="36" s="1"/>
  <c r="H39" i="36"/>
  <c r="H37" i="36"/>
  <c r="I35" i="36"/>
  <c r="F42" i="36"/>
  <c r="F38" i="36"/>
  <c r="F36" i="36" s="1"/>
  <c r="L224" i="60"/>
  <c r="L225" i="60"/>
  <c r="F48" i="2" s="1"/>
  <c r="J26" i="18"/>
  <c r="F37" i="72"/>
  <c r="H24" i="56"/>
  <c r="H25" i="56"/>
  <c r="B4" i="74"/>
  <c r="L4" i="74"/>
  <c r="G26" i="74"/>
  <c r="G27" i="74" s="1"/>
  <c r="R23" i="74"/>
  <c r="S21" i="74"/>
  <c r="R25" i="74"/>
  <c r="Q26" i="74"/>
  <c r="Q27" i="74" s="1"/>
  <c r="F28" i="74"/>
  <c r="F24" i="74"/>
  <c r="F22" i="74" s="1"/>
  <c r="H25" i="74"/>
  <c r="H23" i="74"/>
  <c r="I21" i="74"/>
  <c r="P28" i="74"/>
  <c r="P24" i="74"/>
  <c r="P22" i="74" s="1"/>
  <c r="E24" i="71"/>
  <c r="E22" i="71" s="1"/>
  <c r="O24" i="71"/>
  <c r="O22" i="71" s="1"/>
  <c r="P27" i="71"/>
  <c r="P24" i="71" s="1"/>
  <c r="P22" i="71" s="1"/>
  <c r="F27" i="71"/>
  <c r="F28" i="71" s="1"/>
  <c r="I21" i="71"/>
  <c r="H25" i="71"/>
  <c r="H23" i="71"/>
  <c r="G26" i="71"/>
  <c r="R23" i="71"/>
  <c r="S21" i="71"/>
  <c r="R25" i="71"/>
  <c r="Q26" i="71"/>
  <c r="G21" i="67"/>
  <c r="F25" i="67"/>
  <c r="F23" i="67"/>
  <c r="Q21" i="67"/>
  <c r="P25" i="67"/>
  <c r="P23" i="67"/>
  <c r="E21" i="63"/>
  <c r="D23" i="63"/>
  <c r="D25" i="63"/>
  <c r="Q21" i="63"/>
  <c r="P25" i="63"/>
  <c r="P23" i="63"/>
  <c r="I14" i="15"/>
  <c r="I22" i="15"/>
  <c r="I24" i="15" s="1"/>
  <c r="I24" i="11"/>
  <c r="J24" i="11" s="1"/>
  <c r="I23" i="11"/>
  <c r="I25" i="11" s="1"/>
  <c r="I28" i="11" s="1"/>
  <c r="E18" i="49"/>
  <c r="E19" i="49" s="1"/>
  <c r="D15" i="49"/>
  <c r="D13" i="49" s="1"/>
  <c r="H12" i="49"/>
  <c r="G14" i="49"/>
  <c r="G16" i="49"/>
  <c r="F17" i="49"/>
  <c r="I26" i="14"/>
  <c r="I14" i="14"/>
  <c r="I22" i="14"/>
  <c r="I26" i="19"/>
  <c r="I22" i="19"/>
  <c r="I14" i="19"/>
  <c r="I24" i="10"/>
  <c r="J24" i="10" s="1"/>
  <c r="I23" i="10"/>
  <c r="I25" i="10" s="1"/>
  <c r="I28" i="10" s="1"/>
  <c r="O18" i="49"/>
  <c r="O19" i="49" s="1"/>
  <c r="N15" i="49"/>
  <c r="N13" i="49" s="1"/>
  <c r="I25" i="54"/>
  <c r="H19" i="54"/>
  <c r="P17" i="49"/>
  <c r="Q16" i="49"/>
  <c r="Q14" i="49"/>
  <c r="R12" i="49"/>
  <c r="K21" i="18"/>
  <c r="M21" i="18"/>
  <c r="B18" i="44"/>
  <c r="S10" i="44"/>
  <c r="S6" i="44"/>
  <c r="S4" i="44" s="1"/>
  <c r="I6" i="44"/>
  <c r="I4" i="44" s="1"/>
  <c r="I10" i="44"/>
  <c r="L18" i="44"/>
  <c r="O12" i="44"/>
  <c r="N14" i="44"/>
  <c r="N16" i="44"/>
  <c r="C17" i="44"/>
  <c r="E12" i="44"/>
  <c r="D16" i="44"/>
  <c r="D14" i="44"/>
  <c r="M17" i="44"/>
  <c r="N13" i="54"/>
  <c r="L17" i="54"/>
  <c r="N23" i="51"/>
  <c r="N23" i="56"/>
  <c r="M13" i="54"/>
  <c r="T12" i="41"/>
  <c r="M3" i="56"/>
  <c r="O23" i="51"/>
  <c r="N22" i="56"/>
  <c r="L26" i="51"/>
  <c r="Q12" i="41"/>
  <c r="Q24" i="56"/>
  <c r="M22" i="56"/>
  <c r="M10" i="41"/>
  <c r="N22" i="51"/>
  <c r="O10" i="41"/>
  <c r="L22" i="50"/>
  <c r="R10" i="41"/>
  <c r="R14" i="54"/>
  <c r="L26" i="56"/>
  <c r="O23" i="56"/>
  <c r="L22" i="64"/>
  <c r="Q15" i="54"/>
  <c r="L14" i="41"/>
  <c r="E53" i="74"/>
  <c r="T24" i="51"/>
  <c r="O14" i="54"/>
  <c r="N3" i="56"/>
  <c r="T15" i="54"/>
  <c r="T24" i="56"/>
  <c r="E52" i="74"/>
  <c r="N10" i="41"/>
  <c r="Q24" i="51"/>
  <c r="M22" i="51"/>
  <c r="K18" i="2"/>
  <c r="P23" i="51" l="1"/>
  <c r="P23" i="56"/>
  <c r="S14" i="54"/>
  <c r="P14" i="54"/>
  <c r="S10" i="41"/>
  <c r="P10" i="41"/>
  <c r="B45" i="36"/>
  <c r="I37" i="36"/>
  <c r="I39" i="36"/>
  <c r="H40" i="36"/>
  <c r="H41" i="36" s="1"/>
  <c r="G42" i="36"/>
  <c r="G38" i="36"/>
  <c r="G36" i="36" s="1"/>
  <c r="V2" i="56"/>
  <c r="I24" i="56"/>
  <c r="I25" i="56"/>
  <c r="Q28" i="74"/>
  <c r="Q24" i="74"/>
  <c r="Q22" i="74" s="1"/>
  <c r="R26" i="74"/>
  <c r="R27" i="74" s="1"/>
  <c r="I23" i="74"/>
  <c r="I25" i="74"/>
  <c r="H26" i="74"/>
  <c r="H27" i="74" s="1"/>
  <c r="S23" i="74"/>
  <c r="S25" i="74"/>
  <c r="G28" i="74"/>
  <c r="G24" i="74"/>
  <c r="G22" i="74" s="1"/>
  <c r="P28" i="71"/>
  <c r="F24" i="71"/>
  <c r="F22" i="71" s="1"/>
  <c r="G27" i="71"/>
  <c r="G28" i="71" s="1"/>
  <c r="Q27" i="71"/>
  <c r="Q28" i="71" s="1"/>
  <c r="R26" i="71"/>
  <c r="H26" i="71"/>
  <c r="S23" i="71"/>
  <c r="S25" i="71"/>
  <c r="I23" i="71"/>
  <c r="I25" i="71"/>
  <c r="H21" i="67"/>
  <c r="G25" i="67"/>
  <c r="G23" i="67"/>
  <c r="R21" i="67"/>
  <c r="Q25" i="67"/>
  <c r="Q23" i="67"/>
  <c r="F21" i="63"/>
  <c r="E25" i="63"/>
  <c r="E23" i="63"/>
  <c r="R21" i="63"/>
  <c r="Q25" i="63"/>
  <c r="Q23" i="63"/>
  <c r="I23" i="15"/>
  <c r="I25" i="15" s="1"/>
  <c r="I27" i="15" s="1"/>
  <c r="J21" i="15" s="1"/>
  <c r="J26" i="15" s="1"/>
  <c r="F18" i="49"/>
  <c r="F19" i="49" s="1"/>
  <c r="E15" i="49"/>
  <c r="E13" i="49" s="1"/>
  <c r="I12" i="49"/>
  <c r="I14" i="49" s="1"/>
  <c r="H16" i="49"/>
  <c r="H14" i="49"/>
  <c r="G17" i="49"/>
  <c r="I24" i="19"/>
  <c r="I23" i="19"/>
  <c r="I25" i="19" s="1"/>
  <c r="I27" i="19" s="1"/>
  <c r="J21" i="19" s="1"/>
  <c r="I24" i="14"/>
  <c r="I23" i="14"/>
  <c r="I25" i="14" s="1"/>
  <c r="I27" i="14" s="1"/>
  <c r="J21" i="14" s="1"/>
  <c r="P18" i="49"/>
  <c r="P19" i="49" s="1"/>
  <c r="O15" i="49"/>
  <c r="O13" i="49" s="1"/>
  <c r="R14" i="49"/>
  <c r="R16" i="49"/>
  <c r="S12" i="49"/>
  <c r="Q17" i="49"/>
  <c r="M14" i="18"/>
  <c r="M22" i="18"/>
  <c r="M26" i="18"/>
  <c r="K22" i="18"/>
  <c r="K14" i="18"/>
  <c r="K26" i="18"/>
  <c r="E16" i="44"/>
  <c r="E14" i="44"/>
  <c r="F12" i="44"/>
  <c r="N17" i="44"/>
  <c r="M18" i="44"/>
  <c r="O16" i="44"/>
  <c r="O14" i="44"/>
  <c r="P12" i="44"/>
  <c r="D17" i="44"/>
  <c r="B19" i="44"/>
  <c r="B15" i="44"/>
  <c r="B13" i="44" s="1"/>
  <c r="C18" i="44"/>
  <c r="L19" i="44"/>
  <c r="L15" i="44"/>
  <c r="L13" i="44" s="1"/>
  <c r="T13" i="41"/>
  <c r="Q25" i="51"/>
  <c r="Q25" i="56"/>
  <c r="Q13" i="41"/>
  <c r="R15" i="54"/>
  <c r="T16" i="54"/>
  <c r="R24" i="51"/>
  <c r="L18" i="54"/>
  <c r="O24" i="56"/>
  <c r="T25" i="56"/>
  <c r="K19" i="2"/>
  <c r="R11" i="41"/>
  <c r="N11" i="41"/>
  <c r="R23" i="51"/>
  <c r="M11" i="41"/>
  <c r="O11" i="41"/>
  <c r="O24" i="51"/>
  <c r="M23" i="56"/>
  <c r="R24" i="56"/>
  <c r="M23" i="51"/>
  <c r="N14" i="54"/>
  <c r="O15" i="54"/>
  <c r="M14" i="54"/>
  <c r="R23" i="56"/>
  <c r="L23" i="50"/>
  <c r="L15" i="41"/>
  <c r="T25" i="51"/>
  <c r="Q16" i="54"/>
  <c r="L23" i="64"/>
  <c r="S24" i="51" l="1"/>
  <c r="S23" i="51"/>
  <c r="P24" i="51"/>
  <c r="S24" i="56"/>
  <c r="S23" i="56"/>
  <c r="P24" i="56"/>
  <c r="S15" i="54"/>
  <c r="P15" i="54"/>
  <c r="S11" i="41"/>
  <c r="P11" i="41"/>
  <c r="I40" i="36"/>
  <c r="I41" i="36" s="1"/>
  <c r="H42" i="36"/>
  <c r="H38" i="36"/>
  <c r="H36" i="36" s="1"/>
  <c r="B49" i="36"/>
  <c r="C45" i="36"/>
  <c r="B47" i="36"/>
  <c r="I26" i="74"/>
  <c r="I27" i="74" s="1"/>
  <c r="H28" i="74"/>
  <c r="H24" i="74"/>
  <c r="H22" i="74" s="1"/>
  <c r="R28" i="74"/>
  <c r="R24" i="74"/>
  <c r="R22" i="74" s="1"/>
  <c r="S26" i="74"/>
  <c r="S27" i="74" s="1"/>
  <c r="Q24" i="71"/>
  <c r="Q22" i="71" s="1"/>
  <c r="G24" i="71"/>
  <c r="G22" i="71" s="1"/>
  <c r="R27" i="71"/>
  <c r="R24" i="71" s="1"/>
  <c r="R22" i="71" s="1"/>
  <c r="H27" i="71"/>
  <c r="H28" i="71" s="1"/>
  <c r="I26" i="71"/>
  <c r="S26" i="71"/>
  <c r="H25" i="67"/>
  <c r="H23" i="67"/>
  <c r="I21" i="67"/>
  <c r="R25" i="67"/>
  <c r="R23" i="67"/>
  <c r="S21" i="67"/>
  <c r="F25" i="63"/>
  <c r="F23" i="63"/>
  <c r="G21" i="63"/>
  <c r="S21" i="63"/>
  <c r="R25" i="63"/>
  <c r="R23" i="63"/>
  <c r="J22" i="15"/>
  <c r="J23" i="15" s="1"/>
  <c r="J25" i="15" s="1"/>
  <c r="J27" i="15" s="1"/>
  <c r="K21" i="15" s="1"/>
  <c r="K14" i="15" s="1"/>
  <c r="F15" i="49"/>
  <c r="F13" i="49" s="1"/>
  <c r="G18" i="49"/>
  <c r="G19" i="49" s="1"/>
  <c r="B21" i="49"/>
  <c r="B23" i="49" s="1"/>
  <c r="I16" i="49"/>
  <c r="I17" i="49" s="1"/>
  <c r="H17" i="49"/>
  <c r="J22" i="14"/>
  <c r="J23" i="14" s="1"/>
  <c r="J25" i="14" s="1"/>
  <c r="J27" i="14" s="1"/>
  <c r="K21" i="14" s="1"/>
  <c r="J26" i="14"/>
  <c r="J22" i="19"/>
  <c r="J23" i="19" s="1"/>
  <c r="J25" i="19" s="1"/>
  <c r="J27" i="19" s="1"/>
  <c r="J26" i="19"/>
  <c r="Q18" i="49"/>
  <c r="Q19" i="49" s="1"/>
  <c r="P15" i="49"/>
  <c r="P13" i="49" s="1"/>
  <c r="S16" i="49"/>
  <c r="S14" i="49"/>
  <c r="L21" i="49"/>
  <c r="R17" i="49"/>
  <c r="K24" i="18"/>
  <c r="K23" i="18"/>
  <c r="K25" i="18" s="1"/>
  <c r="K27" i="18" s="1"/>
  <c r="L21" i="18" s="1"/>
  <c r="M24" i="18"/>
  <c r="N24" i="18" s="1"/>
  <c r="M23" i="18"/>
  <c r="M25" i="18" s="1"/>
  <c r="M27" i="18" s="1"/>
  <c r="D18" i="44"/>
  <c r="C19" i="44"/>
  <c r="C15" i="44"/>
  <c r="C13" i="44" s="1"/>
  <c r="G12" i="44"/>
  <c r="F16" i="44"/>
  <c r="F14" i="44"/>
  <c r="O17" i="44"/>
  <c r="N18" i="44"/>
  <c r="M19" i="44"/>
  <c r="M15" i="44"/>
  <c r="M13" i="44" s="1"/>
  <c r="E17" i="44"/>
  <c r="Q12" i="44"/>
  <c r="P14" i="44"/>
  <c r="P16" i="44"/>
  <c r="M12" i="41"/>
  <c r="Q18" i="54"/>
  <c r="N25" i="51"/>
  <c r="T17" i="54"/>
  <c r="N24" i="56"/>
  <c r="O12" i="41"/>
  <c r="T14" i="41"/>
  <c r="N15" i="54"/>
  <c r="N24" i="51"/>
  <c r="T26" i="56"/>
  <c r="L16" i="41"/>
  <c r="Q26" i="56"/>
  <c r="O25" i="56"/>
  <c r="R12" i="41"/>
  <c r="O16" i="54"/>
  <c r="Q17" i="54"/>
  <c r="N25" i="56"/>
  <c r="L24" i="50"/>
  <c r="M24" i="51"/>
  <c r="M24" i="56"/>
  <c r="R16" i="54"/>
  <c r="K20" i="2"/>
  <c r="L24" i="64"/>
  <c r="Q26" i="51"/>
  <c r="L19" i="54"/>
  <c r="T26" i="51"/>
  <c r="M15" i="54"/>
  <c r="Q14" i="41"/>
  <c r="O25" i="51"/>
  <c r="N12" i="41"/>
  <c r="P25" i="51" l="1"/>
  <c r="P25" i="56"/>
  <c r="S16" i="54"/>
  <c r="P16" i="54"/>
  <c r="S12" i="41"/>
  <c r="P12" i="41"/>
  <c r="C49" i="36"/>
  <c r="C47" i="36"/>
  <c r="D45" i="36"/>
  <c r="B50" i="36"/>
  <c r="B51" i="36" s="1"/>
  <c r="I42" i="36"/>
  <c r="I38" i="36"/>
  <c r="I36" i="36" s="1"/>
  <c r="S28" i="74"/>
  <c r="S24" i="74"/>
  <c r="S22" i="74" s="1"/>
  <c r="I28" i="74"/>
  <c r="I24" i="74"/>
  <c r="I22" i="74" s="1"/>
  <c r="R28" i="71"/>
  <c r="S27" i="71"/>
  <c r="S28" i="71" s="1"/>
  <c r="I27" i="71"/>
  <c r="I28" i="71" s="1"/>
  <c r="H24" i="71"/>
  <c r="H22" i="71" s="1"/>
  <c r="I25" i="67"/>
  <c r="I23" i="67"/>
  <c r="S25" i="67"/>
  <c r="S23" i="67"/>
  <c r="H21" i="63"/>
  <c r="G23" i="63"/>
  <c r="G25" i="63"/>
  <c r="S25" i="63"/>
  <c r="S23" i="63"/>
  <c r="K26" i="15"/>
  <c r="K22" i="15"/>
  <c r="K24" i="15" s="1"/>
  <c r="L24" i="15" s="1"/>
  <c r="G15" i="49"/>
  <c r="G13" i="49" s="1"/>
  <c r="H18" i="49"/>
  <c r="H19" i="49" s="1"/>
  <c r="B25" i="49"/>
  <c r="B26" i="49" s="1"/>
  <c r="C21" i="49"/>
  <c r="C25" i="49" s="1"/>
  <c r="K21" i="19"/>
  <c r="M21" i="19"/>
  <c r="K14" i="14"/>
  <c r="K22" i="14"/>
  <c r="K26" i="14"/>
  <c r="R18" i="49"/>
  <c r="R19" i="49" s="1"/>
  <c r="I18" i="49"/>
  <c r="I19" i="49" s="1"/>
  <c r="Q15" i="49"/>
  <c r="Q13" i="49" s="1"/>
  <c r="M21" i="49"/>
  <c r="L25" i="49"/>
  <c r="L23" i="49"/>
  <c r="S17" i="49"/>
  <c r="L22" i="18"/>
  <c r="L23" i="18" s="1"/>
  <c r="L25" i="18" s="1"/>
  <c r="L27" i="18" s="1"/>
  <c r="L26" i="18"/>
  <c r="R12" i="44"/>
  <c r="Q16" i="44"/>
  <c r="Q14" i="44"/>
  <c r="D19" i="44"/>
  <c r="D15" i="44"/>
  <c r="D13" i="44" s="1"/>
  <c r="O18" i="44"/>
  <c r="F17" i="44"/>
  <c r="H12" i="44"/>
  <c r="G16" i="44"/>
  <c r="G14" i="44"/>
  <c r="N19" i="44"/>
  <c r="N15" i="44"/>
  <c r="N13" i="44" s="1"/>
  <c r="E18" i="44"/>
  <c r="P17" i="44"/>
  <c r="L25" i="64"/>
  <c r="Q15" i="41"/>
  <c r="L20" i="54"/>
  <c r="L25" i="50"/>
  <c r="R13" i="41"/>
  <c r="O17" i="54"/>
  <c r="N16" i="54"/>
  <c r="R25" i="51"/>
  <c r="R26" i="51"/>
  <c r="O26" i="51"/>
  <c r="T15" i="41"/>
  <c r="Q19" i="54"/>
  <c r="R26" i="56"/>
  <c r="R25" i="56"/>
  <c r="O18" i="54"/>
  <c r="O26" i="56"/>
  <c r="O13" i="41"/>
  <c r="M13" i="41"/>
  <c r="R17" i="54"/>
  <c r="L17" i="41"/>
  <c r="K21" i="2"/>
  <c r="M25" i="51"/>
  <c r="M16" i="54"/>
  <c r="T18" i="54"/>
  <c r="N13" i="41"/>
  <c r="M25" i="56"/>
  <c r="S26" i="51" l="1"/>
  <c r="S25" i="51"/>
  <c r="P26" i="51"/>
  <c r="S25" i="56"/>
  <c r="S26" i="56"/>
  <c r="P26" i="56"/>
  <c r="S17" i="54"/>
  <c r="P18" i="54"/>
  <c r="P17" i="54"/>
  <c r="S13" i="41"/>
  <c r="P13" i="41"/>
  <c r="B52" i="36"/>
  <c r="B48" i="36"/>
  <c r="B46" i="36" s="1"/>
  <c r="D49" i="36"/>
  <c r="D47" i="36"/>
  <c r="E45" i="36"/>
  <c r="C50" i="36"/>
  <c r="C51" i="36" s="1"/>
  <c r="I24" i="71"/>
  <c r="I22" i="71" s="1"/>
  <c r="S24" i="71"/>
  <c r="S22" i="71" s="1"/>
  <c r="K23" i="15"/>
  <c r="K25" i="15" s="1"/>
  <c r="K27" i="15" s="1"/>
  <c r="I21" i="63"/>
  <c r="H25" i="63"/>
  <c r="H23" i="63"/>
  <c r="H15" i="49"/>
  <c r="H13" i="49" s="1"/>
  <c r="D21" i="49"/>
  <c r="D25" i="49" s="1"/>
  <c r="C23" i="49"/>
  <c r="C26" i="49" s="1"/>
  <c r="K23" i="14"/>
  <c r="K25" i="14" s="1"/>
  <c r="K27" i="14" s="1"/>
  <c r="K24" i="14"/>
  <c r="L24" i="14" s="1"/>
  <c r="M14" i="19"/>
  <c r="M22" i="19"/>
  <c r="M26" i="19"/>
  <c r="K22" i="19"/>
  <c r="K14" i="19"/>
  <c r="K26" i="19"/>
  <c r="I15" i="49"/>
  <c r="I13" i="49" s="1"/>
  <c r="B27" i="49"/>
  <c r="B28" i="49" s="1"/>
  <c r="S18" i="49"/>
  <c r="S19" i="49" s="1"/>
  <c r="R15" i="49"/>
  <c r="R13" i="49" s="1"/>
  <c r="L26" i="49"/>
  <c r="N21" i="49"/>
  <c r="M25" i="49"/>
  <c r="M23" i="49"/>
  <c r="Q17" i="44"/>
  <c r="P18" i="44"/>
  <c r="R16" i="44"/>
  <c r="R14" i="44"/>
  <c r="S12" i="44"/>
  <c r="O19" i="44"/>
  <c r="O15" i="44"/>
  <c r="O13" i="44" s="1"/>
  <c r="H16" i="44"/>
  <c r="H14" i="44"/>
  <c r="I12" i="44"/>
  <c r="F18" i="44"/>
  <c r="E15" i="44"/>
  <c r="E13" i="44" s="1"/>
  <c r="E19" i="44"/>
  <c r="G17" i="44"/>
  <c r="N26" i="56"/>
  <c r="L21" i="54"/>
  <c r="L18" i="41"/>
  <c r="Q16" i="41"/>
  <c r="N26" i="51"/>
  <c r="L26" i="50"/>
  <c r="M18" i="54"/>
  <c r="Q20" i="54"/>
  <c r="M17" i="54"/>
  <c r="L26" i="64"/>
  <c r="N14" i="41"/>
  <c r="K22" i="2"/>
  <c r="R14" i="41"/>
  <c r="M14" i="41"/>
  <c r="N17" i="54"/>
  <c r="R18" i="54"/>
  <c r="M26" i="56"/>
  <c r="T16" i="41"/>
  <c r="T19" i="54"/>
  <c r="O19" i="54"/>
  <c r="M26" i="51"/>
  <c r="O14" i="41"/>
  <c r="S18" i="54" l="1"/>
  <c r="P19" i="54"/>
  <c r="S14" i="41"/>
  <c r="P14" i="41"/>
  <c r="C52" i="36"/>
  <c r="C48" i="36"/>
  <c r="C46" i="36" s="1"/>
  <c r="D50" i="36"/>
  <c r="D51" i="36" s="1"/>
  <c r="E47" i="36"/>
  <c r="F45" i="36"/>
  <c r="E49" i="36"/>
  <c r="I25" i="63"/>
  <c r="I23" i="63"/>
  <c r="D23" i="49"/>
  <c r="D26" i="49" s="1"/>
  <c r="E21" i="49"/>
  <c r="E25" i="49" s="1"/>
  <c r="K23" i="19"/>
  <c r="K25" i="19" s="1"/>
  <c r="K27" i="19" s="1"/>
  <c r="L21" i="19" s="1"/>
  <c r="K24" i="19"/>
  <c r="M24" i="19"/>
  <c r="N24" i="19" s="1"/>
  <c r="M23" i="19"/>
  <c r="M25" i="19" s="1"/>
  <c r="M27" i="19" s="1"/>
  <c r="C27" i="49"/>
  <c r="C28" i="49" s="1"/>
  <c r="S15" i="49"/>
  <c r="S13" i="49" s="1"/>
  <c r="L27" i="49"/>
  <c r="L28" i="49" s="1"/>
  <c r="B24" i="49"/>
  <c r="B22" i="49" s="1"/>
  <c r="M26" i="49"/>
  <c r="O21" i="49"/>
  <c r="N25" i="49"/>
  <c r="N23" i="49"/>
  <c r="F15" i="44"/>
  <c r="F13" i="44" s="1"/>
  <c r="F19" i="44"/>
  <c r="B21" i="44"/>
  <c r="I16" i="44"/>
  <c r="I14" i="44"/>
  <c r="R17" i="44"/>
  <c r="Q18" i="44"/>
  <c r="G18" i="44"/>
  <c r="P19" i="44"/>
  <c r="P15" i="44"/>
  <c r="P13" i="44" s="1"/>
  <c r="H17" i="44"/>
  <c r="L21" i="44"/>
  <c r="S14" i="44"/>
  <c r="S16" i="44"/>
  <c r="Q21" i="54"/>
  <c r="N18" i="54"/>
  <c r="Q17" i="41"/>
  <c r="O20" i="54"/>
  <c r="N15" i="41"/>
  <c r="T20" i="54"/>
  <c r="L19" i="41"/>
  <c r="T17" i="41"/>
  <c r="L22" i="54"/>
  <c r="M19" i="54"/>
  <c r="R19" i="54"/>
  <c r="R15" i="41"/>
  <c r="O15" i="41"/>
  <c r="K23" i="2"/>
  <c r="M15" i="41"/>
  <c r="S19" i="54" l="1"/>
  <c r="P20" i="54"/>
  <c r="S15" i="41"/>
  <c r="P15" i="41"/>
  <c r="G45" i="36"/>
  <c r="F47" i="36"/>
  <c r="F49" i="36"/>
  <c r="E50" i="36"/>
  <c r="E51" i="36" s="1"/>
  <c r="D52" i="36"/>
  <c r="D48" i="36"/>
  <c r="D46" i="36" s="1"/>
  <c r="F21" i="49"/>
  <c r="F23" i="49" s="1"/>
  <c r="E23" i="49"/>
  <c r="E26" i="49" s="1"/>
  <c r="L22" i="19"/>
  <c r="L23" i="19" s="1"/>
  <c r="L25" i="19" s="1"/>
  <c r="L27" i="19" s="1"/>
  <c r="L26" i="19"/>
  <c r="D27" i="49"/>
  <c r="D28" i="49" s="1"/>
  <c r="L24" i="49"/>
  <c r="L22" i="49" s="1"/>
  <c r="M27" i="49"/>
  <c r="M28" i="49" s="1"/>
  <c r="C24" i="49"/>
  <c r="C22" i="49" s="1"/>
  <c r="N26" i="49"/>
  <c r="O25" i="49"/>
  <c r="O23" i="49"/>
  <c r="P21" i="49"/>
  <c r="Q15" i="44"/>
  <c r="Q13" i="44" s="1"/>
  <c r="Q19" i="44"/>
  <c r="R18" i="44"/>
  <c r="C21" i="44"/>
  <c r="B25" i="44"/>
  <c r="B23" i="44"/>
  <c r="G15" i="44"/>
  <c r="G13" i="44" s="1"/>
  <c r="G19" i="44"/>
  <c r="S17" i="44"/>
  <c r="I17" i="44"/>
  <c r="M21" i="44"/>
  <c r="L25" i="44"/>
  <c r="L23" i="44"/>
  <c r="H18" i="44"/>
  <c r="O16" i="41"/>
  <c r="M20" i="54"/>
  <c r="T21" i="54"/>
  <c r="L20" i="41"/>
  <c r="R16" i="41"/>
  <c r="L23" i="54"/>
  <c r="T18" i="41"/>
  <c r="N16" i="41"/>
  <c r="R20" i="54"/>
  <c r="Q22" i="54"/>
  <c r="O21" i="54"/>
  <c r="M16" i="41"/>
  <c r="K24" i="2"/>
  <c r="N19" i="54"/>
  <c r="Q18" i="41"/>
  <c r="S20" i="54" l="1"/>
  <c r="P21" i="54"/>
  <c r="S16" i="41"/>
  <c r="P16" i="41"/>
  <c r="E48" i="36"/>
  <c r="E46" i="36" s="1"/>
  <c r="E52" i="36"/>
  <c r="F50" i="36"/>
  <c r="F51" i="36" s="1"/>
  <c r="H45" i="36"/>
  <c r="G49" i="36"/>
  <c r="G47" i="36"/>
  <c r="F25" i="49"/>
  <c r="F26" i="49" s="1"/>
  <c r="G21" i="49"/>
  <c r="G25" i="49" s="1"/>
  <c r="N27" i="49"/>
  <c r="N28" i="49" s="1"/>
  <c r="M24" i="49"/>
  <c r="M22" i="49" s="1"/>
  <c r="E27" i="49"/>
  <c r="E28" i="49" s="1"/>
  <c r="D24" i="49"/>
  <c r="D22" i="49" s="1"/>
  <c r="Q21" i="49"/>
  <c r="P25" i="49"/>
  <c r="P23" i="49"/>
  <c r="O26" i="49"/>
  <c r="C25" i="44"/>
  <c r="C23" i="44"/>
  <c r="D21" i="44"/>
  <c r="M25" i="44"/>
  <c r="M23" i="44"/>
  <c r="N21" i="44"/>
  <c r="H15" i="44"/>
  <c r="H13" i="44" s="1"/>
  <c r="H19" i="44"/>
  <c r="B26" i="44"/>
  <c r="S18" i="44"/>
  <c r="R15" i="44"/>
  <c r="R13" i="44" s="1"/>
  <c r="R19" i="44"/>
  <c r="I18" i="44"/>
  <c r="L26" i="44"/>
  <c r="R17" i="41"/>
  <c r="K25" i="2"/>
  <c r="N17" i="41"/>
  <c r="Q19" i="41"/>
  <c r="T19" i="41"/>
  <c r="R21" i="54"/>
  <c r="L24" i="54"/>
  <c r="M17" i="41"/>
  <c r="O17" i="41"/>
  <c r="O22" i="54"/>
  <c r="T22" i="54"/>
  <c r="M21" i="54"/>
  <c r="Q23" i="54"/>
  <c r="L21" i="41"/>
  <c r="N20" i="54"/>
  <c r="S21" i="54" l="1"/>
  <c r="P22" i="54"/>
  <c r="S17" i="41"/>
  <c r="P17" i="41"/>
  <c r="F48" i="36"/>
  <c r="F46" i="36" s="1"/>
  <c r="F52" i="36"/>
  <c r="G50" i="36"/>
  <c r="G51" i="36" s="1"/>
  <c r="I45" i="36"/>
  <c r="H49" i="36"/>
  <c r="H47" i="36"/>
  <c r="H21" i="49"/>
  <c r="I21" i="49" s="1"/>
  <c r="G23" i="49"/>
  <c r="G26" i="49" s="1"/>
  <c r="F27" i="49"/>
  <c r="F28" i="49" s="1"/>
  <c r="O27" i="49"/>
  <c r="O28" i="49" s="1"/>
  <c r="E24" i="49"/>
  <c r="E22" i="49" s="1"/>
  <c r="N24" i="49"/>
  <c r="N22" i="49" s="1"/>
  <c r="P26" i="49"/>
  <c r="Q25" i="49"/>
  <c r="Q23" i="49"/>
  <c r="R21" i="49"/>
  <c r="I19" i="44"/>
  <c r="I15" i="44"/>
  <c r="I13" i="44" s="1"/>
  <c r="B27" i="44"/>
  <c r="D25" i="44"/>
  <c r="D23" i="44"/>
  <c r="E21" i="44"/>
  <c r="N25" i="44"/>
  <c r="N23" i="44"/>
  <c r="O21" i="44"/>
  <c r="M26" i="44"/>
  <c r="C26" i="44"/>
  <c r="L27" i="44"/>
  <c r="S19" i="44"/>
  <c r="S15" i="44"/>
  <c r="S13" i="44" s="1"/>
  <c r="N18" i="41"/>
  <c r="R22" i="54"/>
  <c r="K26" i="2"/>
  <c r="Q24" i="54"/>
  <c r="R18" i="41"/>
  <c r="L26" i="54"/>
  <c r="O23" i="54"/>
  <c r="N21" i="54"/>
  <c r="T23" i="54"/>
  <c r="L25" i="54"/>
  <c r="M18" i="41"/>
  <c r="M22" i="54"/>
  <c r="O18" i="41"/>
  <c r="Q20" i="41"/>
  <c r="L22" i="41"/>
  <c r="T20" i="41"/>
  <c r="S22" i="54" l="1"/>
  <c r="P23" i="54"/>
  <c r="S18" i="41"/>
  <c r="P18" i="41"/>
  <c r="H50" i="36"/>
  <c r="H51" i="36" s="1"/>
  <c r="G52" i="36"/>
  <c r="G48" i="36"/>
  <c r="G46" i="36" s="1"/>
  <c r="I47" i="36"/>
  <c r="I49" i="36"/>
  <c r="H23" i="49"/>
  <c r="H25" i="49"/>
  <c r="P27" i="49"/>
  <c r="P28" i="49" s="1"/>
  <c r="O24" i="49"/>
  <c r="O22" i="49" s="1"/>
  <c r="G27" i="49"/>
  <c r="G28" i="49" s="1"/>
  <c r="F24" i="49"/>
  <c r="F22" i="49" s="1"/>
  <c r="R23" i="49"/>
  <c r="S21" i="49"/>
  <c r="R25" i="49"/>
  <c r="Q26" i="49"/>
  <c r="I25" i="49"/>
  <c r="I23" i="49"/>
  <c r="C27" i="44"/>
  <c r="N26" i="44"/>
  <c r="D26" i="44"/>
  <c r="B28" i="44"/>
  <c r="B24" i="44"/>
  <c r="B22" i="44" s="1"/>
  <c r="L28" i="44"/>
  <c r="L24" i="44"/>
  <c r="L22" i="44" s="1"/>
  <c r="P21" i="44"/>
  <c r="O25" i="44"/>
  <c r="O23" i="44"/>
  <c r="M27" i="44"/>
  <c r="F21" i="44"/>
  <c r="E23" i="44"/>
  <c r="E25" i="44"/>
  <c r="M19" i="41"/>
  <c r="K27" i="2"/>
  <c r="N19" i="41"/>
  <c r="O24" i="54"/>
  <c r="N22" i="54"/>
  <c r="T21" i="41"/>
  <c r="T24" i="54"/>
  <c r="O19" i="41"/>
  <c r="Q21" i="41"/>
  <c r="R23" i="54"/>
  <c r="R19" i="41"/>
  <c r="M23" i="54"/>
  <c r="L23" i="41"/>
  <c r="S23" i="54" l="1"/>
  <c r="P24" i="54"/>
  <c r="S19" i="41"/>
  <c r="P19" i="41"/>
  <c r="I50" i="36"/>
  <c r="I51" i="36" s="1"/>
  <c r="H52" i="36"/>
  <c r="H48" i="36"/>
  <c r="H46" i="36" s="1"/>
  <c r="H26" i="49"/>
  <c r="G24" i="49"/>
  <c r="G22" i="49" s="1"/>
  <c r="Q27" i="49"/>
  <c r="Q28" i="49" s="1"/>
  <c r="P24" i="49"/>
  <c r="P22" i="49" s="1"/>
  <c r="R26" i="49"/>
  <c r="S25" i="49"/>
  <c r="S23" i="49"/>
  <c r="I26" i="49"/>
  <c r="O26" i="44"/>
  <c r="D27" i="44"/>
  <c r="G21" i="44"/>
  <c r="F23" i="44"/>
  <c r="F25" i="44"/>
  <c r="N27" i="44"/>
  <c r="P25" i="44"/>
  <c r="Q21" i="44"/>
  <c r="P23" i="44"/>
  <c r="C28" i="44"/>
  <c r="C24" i="44"/>
  <c r="C22" i="44" s="1"/>
  <c r="M28" i="44"/>
  <c r="M24" i="44"/>
  <c r="M22" i="44" s="1"/>
  <c r="E26" i="44"/>
  <c r="O20" i="41"/>
  <c r="Q25" i="54"/>
  <c r="R20" i="41"/>
  <c r="T22" i="41"/>
  <c r="Q26" i="54"/>
  <c r="L24" i="41"/>
  <c r="K28" i="2"/>
  <c r="N20" i="41"/>
  <c r="Q22" i="41"/>
  <c r="M20" i="41"/>
  <c r="T25" i="54"/>
  <c r="N23" i="54"/>
  <c r="R24" i="54"/>
  <c r="M24" i="54"/>
  <c r="S24" i="54" l="1"/>
  <c r="S20" i="41"/>
  <c r="P20" i="41"/>
  <c r="I48" i="36"/>
  <c r="I46" i="36" s="1"/>
  <c r="I52" i="36"/>
  <c r="H27" i="49"/>
  <c r="H28" i="49" s="1"/>
  <c r="R27" i="49"/>
  <c r="R28" i="49" s="1"/>
  <c r="I27" i="49"/>
  <c r="I28" i="49" s="1"/>
  <c r="Q24" i="49"/>
  <c r="Q22" i="49" s="1"/>
  <c r="S26" i="49"/>
  <c r="Q25" i="44"/>
  <c r="R21" i="44"/>
  <c r="Q23" i="44"/>
  <c r="P26" i="44"/>
  <c r="D28" i="44"/>
  <c r="D24" i="44"/>
  <c r="D22" i="44" s="1"/>
  <c r="O27" i="44"/>
  <c r="E27" i="44"/>
  <c r="F26" i="44"/>
  <c r="G23" i="44"/>
  <c r="G25" i="44"/>
  <c r="H21" i="44"/>
  <c r="N28" i="44"/>
  <c r="N24" i="44"/>
  <c r="N22" i="44" s="1"/>
  <c r="R21" i="41"/>
  <c r="Q23" i="41"/>
  <c r="M21" i="41"/>
  <c r="L25" i="41"/>
  <c r="T23" i="41"/>
  <c r="N24" i="54"/>
  <c r="O21" i="41"/>
  <c r="O26" i="54"/>
  <c r="N21" i="41"/>
  <c r="R25" i="54"/>
  <c r="O25" i="54"/>
  <c r="T26" i="54"/>
  <c r="K29" i="2"/>
  <c r="S25" i="54" l="1"/>
  <c r="P26" i="54"/>
  <c r="P25" i="54"/>
  <c r="S21" i="41"/>
  <c r="P21" i="41"/>
  <c r="H24" i="49"/>
  <c r="H22" i="49" s="1"/>
  <c r="S27" i="49"/>
  <c r="S28" i="49" s="1"/>
  <c r="I24" i="49"/>
  <c r="I22" i="49" s="1"/>
  <c r="R24" i="49"/>
  <c r="R22" i="49" s="1"/>
  <c r="F27" i="44"/>
  <c r="H23" i="44"/>
  <c r="H25" i="44"/>
  <c r="I21" i="44"/>
  <c r="P27" i="44"/>
  <c r="G26" i="44"/>
  <c r="O28" i="44"/>
  <c r="O24" i="44"/>
  <c r="O22" i="44" s="1"/>
  <c r="S21" i="44"/>
  <c r="R23" i="44"/>
  <c r="R25" i="44"/>
  <c r="Q26" i="44"/>
  <c r="E28" i="44"/>
  <c r="E24" i="44"/>
  <c r="E22" i="44" s="1"/>
  <c r="T24" i="41"/>
  <c r="L26" i="41"/>
  <c r="Q24" i="41"/>
  <c r="R22" i="41"/>
  <c r="R26" i="54"/>
  <c r="K30" i="2"/>
  <c r="M22" i="41"/>
  <c r="M26" i="54"/>
  <c r="N22" i="41"/>
  <c r="N25" i="54"/>
  <c r="O22" i="41"/>
  <c r="M25" i="54"/>
  <c r="S26" i="54" l="1"/>
  <c r="S22" i="41"/>
  <c r="P22" i="41"/>
  <c r="S24" i="49"/>
  <c r="S22" i="49" s="1"/>
  <c r="S25" i="44"/>
  <c r="S23" i="44"/>
  <c r="I25" i="44"/>
  <c r="I23" i="44"/>
  <c r="H26" i="44"/>
  <c r="G27" i="44"/>
  <c r="Q27" i="44"/>
  <c r="P28" i="44"/>
  <c r="P24" i="44"/>
  <c r="P22" i="44" s="1"/>
  <c r="R26" i="44"/>
  <c r="F28" i="44"/>
  <c r="F24" i="44"/>
  <c r="F22" i="44" s="1"/>
  <c r="R23" i="41"/>
  <c r="M23" i="41"/>
  <c r="O23" i="41"/>
  <c r="Q25" i="41"/>
  <c r="T25" i="41"/>
  <c r="N26" i="54"/>
  <c r="K31" i="2"/>
  <c r="N23" i="41"/>
  <c r="S23" i="41" l="1"/>
  <c r="P23" i="41"/>
  <c r="Q28" i="44"/>
  <c r="Q24" i="44"/>
  <c r="Q22" i="44" s="1"/>
  <c r="H27" i="44"/>
  <c r="G28" i="44"/>
  <c r="G24" i="44"/>
  <c r="G22" i="44" s="1"/>
  <c r="I26" i="44"/>
  <c r="R27" i="44"/>
  <c r="S26" i="44"/>
  <c r="Q26" i="41"/>
  <c r="R24" i="41"/>
  <c r="T26" i="41"/>
  <c r="N24" i="41"/>
  <c r="O24" i="41"/>
  <c r="M24" i="41"/>
  <c r="S24" i="41" l="1"/>
  <c r="P24" i="41"/>
  <c r="S27" i="44"/>
  <c r="R28" i="44"/>
  <c r="R24" i="44"/>
  <c r="R22" i="44" s="1"/>
  <c r="H28" i="44"/>
  <c r="H24" i="44"/>
  <c r="H22" i="44" s="1"/>
  <c r="I27" i="44"/>
  <c r="R25" i="41"/>
  <c r="M25" i="41"/>
  <c r="O25" i="41"/>
  <c r="N25" i="41"/>
  <c r="S25" i="41" l="1"/>
  <c r="P25" i="41"/>
  <c r="I24" i="44"/>
  <c r="I22" i="44" s="1"/>
  <c r="I28" i="44"/>
  <c r="S28" i="44"/>
  <c r="S24" i="44"/>
  <c r="S22" i="44" s="1"/>
  <c r="M26" i="41"/>
  <c r="B51" i="48"/>
  <c r="R26" i="41"/>
  <c r="N26" i="41"/>
  <c r="E67" i="63"/>
  <c r="O26" i="41"/>
  <c r="S26" i="41" l="1"/>
  <c r="P26" i="41"/>
  <c r="DJ41" i="48"/>
  <c r="EQ41" i="48"/>
  <c r="AV40" i="48"/>
  <c r="FX41" i="48"/>
  <c r="EF41" i="48"/>
  <c r="O36" i="48"/>
  <c r="AK36" i="48"/>
  <c r="D36" i="48"/>
  <c r="CC40" i="48"/>
  <c r="Z36" i="48"/>
  <c r="DU41" i="48"/>
  <c r="BR40" i="48"/>
  <c r="CN38" i="48"/>
  <c r="BG40" i="48"/>
  <c r="FM41" i="48"/>
  <c r="CY41" i="48"/>
  <c r="FB41" i="48"/>
  <c r="E69" i="63"/>
  <c r="B53" i="48"/>
  <c r="DW41" i="48" l="1"/>
  <c r="CP38" i="48"/>
  <c r="EH41" i="48"/>
  <c r="CE40" i="48"/>
  <c r="DA41" i="48"/>
  <c r="ES41" i="48"/>
  <c r="AB36" i="48"/>
  <c r="FZ41" i="48"/>
  <c r="FO41" i="48"/>
  <c r="AM36" i="48"/>
  <c r="F36" i="48"/>
  <c r="Q36" i="48"/>
  <c r="FD41" i="48"/>
  <c r="DL41" i="48"/>
  <c r="BI40" i="48"/>
  <c r="BT40" i="48"/>
  <c r="AX40" i="48"/>
  <c r="E68" i="63"/>
  <c r="B52" i="48"/>
  <c r="FN41" i="48" l="1"/>
  <c r="FC41" i="48"/>
  <c r="ER41" i="48"/>
  <c r="CZ41" i="48"/>
  <c r="CD40" i="48"/>
  <c r="DV41" i="48"/>
  <c r="CO38" i="48"/>
  <c r="AA36" i="48"/>
  <c r="EG41" i="48"/>
  <c r="BS40" i="48"/>
  <c r="E36" i="48"/>
  <c r="FY41" i="48"/>
  <c r="P36" i="48"/>
  <c r="DK41" i="48"/>
  <c r="AL36" i="48"/>
  <c r="BH40" i="48"/>
  <c r="AW40" i="48"/>
  <c r="B50" i="48"/>
  <c r="E66" i="63"/>
  <c r="DT41" i="48" l="1"/>
  <c r="EE41" i="48"/>
  <c r="CX41" i="48"/>
  <c r="N36" i="48"/>
  <c r="BF40" i="48"/>
  <c r="Y36" i="48"/>
  <c r="AU40" i="48"/>
  <c r="FL41" i="48"/>
  <c r="C36" i="48"/>
  <c r="AJ36" i="48"/>
  <c r="CB40" i="48"/>
  <c r="FW41" i="48"/>
  <c r="DI41" i="48"/>
  <c r="BQ40" i="48"/>
  <c r="EP41" i="48"/>
  <c r="FA41" i="48"/>
  <c r="CM38" i="48"/>
  <c r="CQ38" i="48" s="1"/>
  <c r="CR38" i="48" l="1"/>
  <c r="CT38" i="48" s="1"/>
  <c r="CL43" i="48" s="1"/>
  <c r="FF41" i="48"/>
  <c r="FH41" i="48" s="1"/>
  <c r="EZ46" i="48" s="1"/>
  <c r="FE41" i="48"/>
  <c r="AZ40" i="48"/>
  <c r="BB40" i="48" s="1"/>
  <c r="AT43" i="48" s="1"/>
  <c r="AY40" i="48"/>
  <c r="DN41" i="48"/>
  <c r="DP41" i="48" s="1"/>
  <c r="DH46" i="48" s="1"/>
  <c r="DM41" i="48"/>
  <c r="DB41" i="48"/>
  <c r="DC41" i="48"/>
  <c r="DE41" i="48" s="1"/>
  <c r="CW46" i="48" s="1"/>
  <c r="FQ41" i="48"/>
  <c r="FS41" i="48" s="1"/>
  <c r="FK46" i="48" s="1"/>
  <c r="FP41" i="48"/>
  <c r="BU40" i="48"/>
  <c r="BV40" i="48"/>
  <c r="BX40" i="48" s="1"/>
  <c r="BP43" i="48" s="1"/>
  <c r="BK40" i="48"/>
  <c r="BM40" i="48" s="1"/>
  <c r="BE43" i="48" s="1"/>
  <c r="BJ40" i="48"/>
  <c r="S36" i="48"/>
  <c r="U36" i="48" s="1"/>
  <c r="M41" i="48" s="1"/>
  <c r="R36" i="48"/>
  <c r="CG40" i="48"/>
  <c r="CI40" i="48" s="1"/>
  <c r="CA43" i="48" s="1"/>
  <c r="CF40" i="48"/>
  <c r="AN36" i="48"/>
  <c r="AO36" i="48"/>
  <c r="AQ36" i="48" s="1"/>
  <c r="AI41" i="48" s="1"/>
  <c r="EJ41" i="48"/>
  <c r="EL41" i="48" s="1"/>
  <c r="ED46" i="48" s="1"/>
  <c r="EI41" i="48"/>
  <c r="EU41" i="48"/>
  <c r="EW41" i="48" s="1"/>
  <c r="EO46" i="48" s="1"/>
  <c r="ET41" i="48"/>
  <c r="AD36" i="48"/>
  <c r="AF36" i="48" s="1"/>
  <c r="X41" i="48" s="1"/>
  <c r="AC36" i="48"/>
  <c r="GB41" i="48"/>
  <c r="GD41" i="48" s="1"/>
  <c r="FV46" i="48" s="1"/>
  <c r="GA41" i="48"/>
  <c r="G36" i="48"/>
  <c r="H36" i="48"/>
  <c r="J36" i="48" s="1"/>
  <c r="B41" i="48" s="1"/>
  <c r="DX41" i="48"/>
  <c r="DY41" i="48"/>
  <c r="EA41" i="48" s="1"/>
  <c r="DS46" i="48" s="1"/>
  <c r="B76" i="50" l="1"/>
  <c r="B70" i="50"/>
  <c r="B68" i="50"/>
  <c r="B64" i="50"/>
  <c r="B80" i="50"/>
  <c r="B77" i="50"/>
  <c r="H18" i="64"/>
  <c r="B66" i="50"/>
  <c r="B71" i="50"/>
  <c r="B79" i="50"/>
  <c r="B78" i="50"/>
  <c r="B65" i="50"/>
  <c r="B69" i="50"/>
  <c r="B75" i="50"/>
  <c r="B74" i="50"/>
  <c r="B72" i="50"/>
  <c r="B73" i="50"/>
  <c r="B67" i="50"/>
  <c r="E51" i="67"/>
  <c r="H18" i="50" l="1"/>
  <c r="H23" i="50" s="1"/>
  <c r="H19" i="64"/>
  <c r="H85" i="64"/>
  <c r="H23" i="64"/>
  <c r="E34" i="63"/>
  <c r="E42" i="65"/>
  <c r="E42" i="69"/>
  <c r="E41" i="67"/>
  <c r="E33" i="67"/>
  <c r="E34" i="67"/>
  <c r="E51" i="63"/>
  <c r="H19" i="50" l="1"/>
  <c r="H85" i="50"/>
  <c r="I23" i="64"/>
  <c r="H20" i="64"/>
  <c r="C10" i="69"/>
  <c r="I23" i="50"/>
  <c r="C10" i="65"/>
  <c r="I19" i="64"/>
  <c r="B25" i="64"/>
  <c r="E41" i="63"/>
  <c r="E42" i="62"/>
  <c r="E56" i="67"/>
  <c r="E49" i="67"/>
  <c r="E33" i="63"/>
  <c r="C10" i="62" l="1"/>
  <c r="G10" i="62" s="1"/>
  <c r="B25" i="50"/>
  <c r="I19" i="50"/>
  <c r="H20" i="50"/>
  <c r="I20" i="64"/>
  <c r="G10" i="69"/>
  <c r="E10" i="69"/>
  <c r="L8" i="67"/>
  <c r="L9" i="67" s="1"/>
  <c r="F8" i="67"/>
  <c r="F9" i="67" s="1"/>
  <c r="P8" i="67"/>
  <c r="P9" i="67" s="1"/>
  <c r="B8" i="67"/>
  <c r="B9" i="67" s="1"/>
  <c r="Q8" i="67"/>
  <c r="Q9" i="67" s="1"/>
  <c r="N8" i="67"/>
  <c r="N9" i="67" s="1"/>
  <c r="G8" i="67"/>
  <c r="G9" i="67" s="1"/>
  <c r="M8" i="67"/>
  <c r="M9" i="67" s="1"/>
  <c r="E8" i="67"/>
  <c r="E9" i="67" s="1"/>
  <c r="C8" i="67"/>
  <c r="C9" i="67" s="1"/>
  <c r="O8" i="67"/>
  <c r="O9" i="67" s="1"/>
  <c r="D8" i="67"/>
  <c r="D9" i="67" s="1"/>
  <c r="H8" i="67"/>
  <c r="H9" i="67" s="1"/>
  <c r="R8" i="67"/>
  <c r="R9" i="67" s="1"/>
  <c r="S8" i="67"/>
  <c r="S9" i="67" s="1"/>
  <c r="I8" i="67"/>
  <c r="I9" i="67" s="1"/>
  <c r="B17" i="67"/>
  <c r="B18" i="67" s="1"/>
  <c r="L17" i="67"/>
  <c r="L18" i="67" s="1"/>
  <c r="C17" i="67"/>
  <c r="C18" i="67" s="1"/>
  <c r="M17" i="67"/>
  <c r="M18" i="67" s="1"/>
  <c r="N17" i="67"/>
  <c r="N18" i="67" s="1"/>
  <c r="D17" i="67"/>
  <c r="D18" i="67" s="1"/>
  <c r="E17" i="67"/>
  <c r="E18" i="67" s="1"/>
  <c r="O17" i="67"/>
  <c r="O18" i="67" s="1"/>
  <c r="P17" i="67"/>
  <c r="P18" i="67" s="1"/>
  <c r="F17" i="67"/>
  <c r="F18" i="67" s="1"/>
  <c r="G17" i="67"/>
  <c r="G18" i="67" s="1"/>
  <c r="Q17" i="67"/>
  <c r="Q18" i="67" s="1"/>
  <c r="H17" i="67"/>
  <c r="H18" i="67" s="1"/>
  <c r="R17" i="67"/>
  <c r="R18" i="67" s="1"/>
  <c r="S17" i="67"/>
  <c r="S18" i="67" s="1"/>
  <c r="I17" i="67"/>
  <c r="I18" i="67" s="1"/>
  <c r="L26" i="67"/>
  <c r="L27" i="67" s="1"/>
  <c r="B26" i="67"/>
  <c r="B27" i="67" s="1"/>
  <c r="M26" i="67"/>
  <c r="M27" i="67" s="1"/>
  <c r="C26" i="67"/>
  <c r="C27" i="67" s="1"/>
  <c r="N26" i="67"/>
  <c r="N27" i="67" s="1"/>
  <c r="D26" i="67"/>
  <c r="D27" i="67" s="1"/>
  <c r="O26" i="67"/>
  <c r="O27" i="67" s="1"/>
  <c r="E26" i="67"/>
  <c r="E27" i="67" s="1"/>
  <c r="P26" i="67"/>
  <c r="P27" i="67" s="1"/>
  <c r="F26" i="67"/>
  <c r="F27" i="67" s="1"/>
  <c r="G26" i="67"/>
  <c r="G27" i="67" s="1"/>
  <c r="Q26" i="67"/>
  <c r="Q27" i="67" s="1"/>
  <c r="H26" i="67"/>
  <c r="H27" i="67" s="1"/>
  <c r="R26" i="67"/>
  <c r="R27" i="67" s="1"/>
  <c r="S26" i="67"/>
  <c r="S27" i="67" s="1"/>
  <c r="I26" i="67"/>
  <c r="I27" i="67" s="1"/>
  <c r="G10" i="65"/>
  <c r="E10" i="65"/>
  <c r="B40" i="71"/>
  <c r="T20" i="64"/>
  <c r="Q11" i="64"/>
  <c r="T9" i="64"/>
  <c r="T19" i="64"/>
  <c r="Q14" i="64"/>
  <c r="B123" i="51"/>
  <c r="T15" i="64"/>
  <c r="Q12" i="64"/>
  <c r="T5" i="64"/>
  <c r="T14" i="64"/>
  <c r="Q21" i="64"/>
  <c r="Q25" i="64"/>
  <c r="Q26" i="64"/>
  <c r="E49" i="63"/>
  <c r="Q5" i="64"/>
  <c r="Q16" i="64"/>
  <c r="Q18" i="64"/>
  <c r="Q17" i="64"/>
  <c r="Q20" i="64"/>
  <c r="Q7" i="64"/>
  <c r="Q6" i="64"/>
  <c r="T17" i="64"/>
  <c r="Q15" i="64"/>
  <c r="B123" i="56"/>
  <c r="Q4" i="64"/>
  <c r="B40" i="74"/>
  <c r="B43" i="69"/>
  <c r="T18" i="64"/>
  <c r="T16" i="64"/>
  <c r="T22" i="64"/>
  <c r="Q13" i="64"/>
  <c r="Q19" i="64"/>
  <c r="T7" i="64"/>
  <c r="T24" i="64"/>
  <c r="T11" i="64"/>
  <c r="T3" i="64"/>
  <c r="T6" i="64"/>
  <c r="T21" i="64"/>
  <c r="Q24" i="64"/>
  <c r="Q3" i="64"/>
  <c r="T12" i="64"/>
  <c r="T23" i="64"/>
  <c r="T4" i="64"/>
  <c r="B40" i="67"/>
  <c r="Q23" i="64"/>
  <c r="B107" i="64"/>
  <c r="E56" i="63"/>
  <c r="Q9" i="64"/>
  <c r="Q22" i="64"/>
  <c r="T25" i="64"/>
  <c r="T8" i="64"/>
  <c r="B123" i="64"/>
  <c r="T26" i="64"/>
  <c r="B111" i="64"/>
  <c r="B110" i="64"/>
  <c r="Q8" i="64"/>
  <c r="Q10" i="64"/>
  <c r="T10" i="64"/>
  <c r="T13" i="64"/>
  <c r="E10" i="62" l="1"/>
  <c r="H10" i="62" s="1"/>
  <c r="D29" i="62" s="1"/>
  <c r="Q8" i="63"/>
  <c r="C17" i="63"/>
  <c r="F8" i="63"/>
  <c r="R17" i="63"/>
  <c r="R26" i="63"/>
  <c r="M17" i="63"/>
  <c r="R8" i="63"/>
  <c r="B26" i="63"/>
  <c r="G8" i="63"/>
  <c r="S17" i="63"/>
  <c r="G26" i="63"/>
  <c r="O8" i="63"/>
  <c r="N8" i="63"/>
  <c r="B17" i="63"/>
  <c r="P26" i="63"/>
  <c r="D26" i="63"/>
  <c r="S26" i="63"/>
  <c r="L26" i="63"/>
  <c r="Q26" i="63"/>
  <c r="Q17" i="63"/>
  <c r="E17" i="63"/>
  <c r="I8" i="63"/>
  <c r="F17" i="63"/>
  <c r="P8" i="63"/>
  <c r="D17" i="63"/>
  <c r="I17" i="63"/>
  <c r="L8" i="63"/>
  <c r="N26" i="63"/>
  <c r="H8" i="63"/>
  <c r="H9" i="63" s="1"/>
  <c r="H6" i="63" s="1"/>
  <c r="H4" i="63" s="1"/>
  <c r="F26" i="63"/>
  <c r="F27" i="63" s="1"/>
  <c r="F28" i="63" s="1"/>
  <c r="H26" i="63"/>
  <c r="H27" i="63" s="1"/>
  <c r="H28" i="63" s="1"/>
  <c r="E26" i="63"/>
  <c r="G17" i="63"/>
  <c r="G18" i="63" s="1"/>
  <c r="G19" i="63" s="1"/>
  <c r="N17" i="63"/>
  <c r="M26" i="63"/>
  <c r="M27" i="63" s="1"/>
  <c r="M28" i="63" s="1"/>
  <c r="C8" i="63"/>
  <c r="O17" i="63"/>
  <c r="O18" i="63" s="1"/>
  <c r="O19" i="63" s="1"/>
  <c r="P17" i="63"/>
  <c r="P18" i="63" s="1"/>
  <c r="P15" i="63" s="1"/>
  <c r="P13" i="63" s="1"/>
  <c r="H17" i="63"/>
  <c r="C26" i="63"/>
  <c r="O26" i="63"/>
  <c r="I26" i="63"/>
  <c r="M8" i="63"/>
  <c r="M9" i="63" s="1"/>
  <c r="M10" i="63" s="1"/>
  <c r="B8" i="63"/>
  <c r="B9" i="63" s="1"/>
  <c r="B10" i="63" s="1"/>
  <c r="D8" i="63"/>
  <c r="E8" i="63"/>
  <c r="L17" i="63"/>
  <c r="S8" i="63"/>
  <c r="I20" i="50"/>
  <c r="H10" i="69"/>
  <c r="H10" i="65"/>
  <c r="D30" i="65" s="1"/>
  <c r="B36" i="69"/>
  <c r="I28" i="67"/>
  <c r="I24" i="67"/>
  <c r="I22" i="67" s="1"/>
  <c r="I19" i="67"/>
  <c r="I15" i="67"/>
  <c r="I13" i="67" s="1"/>
  <c r="I10" i="67"/>
  <c r="I6" i="67"/>
  <c r="I4" i="67" s="1"/>
  <c r="S28" i="67"/>
  <c r="S24" i="67"/>
  <c r="S22" i="67" s="1"/>
  <c r="S19" i="67"/>
  <c r="S15" i="67"/>
  <c r="S13" i="67" s="1"/>
  <c r="S10" i="67"/>
  <c r="S6" i="67"/>
  <c r="S4" i="67" s="1"/>
  <c r="R28" i="67"/>
  <c r="R24" i="67"/>
  <c r="R22" i="67" s="1"/>
  <c r="R19" i="67"/>
  <c r="R15" i="67"/>
  <c r="R13" i="67" s="1"/>
  <c r="D15" i="67"/>
  <c r="D13" i="67" s="1"/>
  <c r="D19" i="67"/>
  <c r="N6" i="67"/>
  <c r="N4" i="67" s="1"/>
  <c r="N10" i="67"/>
  <c r="N28" i="67"/>
  <c r="N24" i="67"/>
  <c r="N22" i="67" s="1"/>
  <c r="H19" i="67"/>
  <c r="H15" i="67"/>
  <c r="H13" i="67" s="1"/>
  <c r="N15" i="67"/>
  <c r="N13" i="67" s="1"/>
  <c r="N19" i="67"/>
  <c r="H10" i="67"/>
  <c r="H6" i="67"/>
  <c r="H4" i="67" s="1"/>
  <c r="Q10" i="67"/>
  <c r="Q6" i="67"/>
  <c r="Q4" i="67" s="1"/>
  <c r="Q28" i="67"/>
  <c r="Q24" i="67"/>
  <c r="Q22" i="67" s="1"/>
  <c r="C28" i="67"/>
  <c r="C24" i="67"/>
  <c r="C22" i="67" s="1"/>
  <c r="Q19" i="67"/>
  <c r="Q15" i="67"/>
  <c r="Q13" i="67" s="1"/>
  <c r="M19" i="67"/>
  <c r="M15" i="67"/>
  <c r="M13" i="67" s="1"/>
  <c r="D10" i="67"/>
  <c r="D6" i="67"/>
  <c r="D4" i="67" s="1"/>
  <c r="B10" i="67"/>
  <c r="B6" i="67"/>
  <c r="B4" i="67" s="1"/>
  <c r="G28" i="67"/>
  <c r="G24" i="67"/>
  <c r="G22" i="67" s="1"/>
  <c r="M28" i="67"/>
  <c r="M24" i="67"/>
  <c r="M22" i="67" s="1"/>
  <c r="G19" i="67"/>
  <c r="G15" i="67"/>
  <c r="G13" i="67" s="1"/>
  <c r="C19" i="67"/>
  <c r="C15" i="67"/>
  <c r="C13" i="67" s="1"/>
  <c r="O10" i="67"/>
  <c r="O6" i="67"/>
  <c r="O4" i="67" s="1"/>
  <c r="P10" i="67"/>
  <c r="P6" i="67"/>
  <c r="P4" i="67" s="1"/>
  <c r="E28" i="67"/>
  <c r="E24" i="67"/>
  <c r="E22" i="67" s="1"/>
  <c r="O19" i="67"/>
  <c r="O15" i="67"/>
  <c r="O13" i="67" s="1"/>
  <c r="M10" i="67"/>
  <c r="M6" i="67"/>
  <c r="M4" i="67" s="1"/>
  <c r="O28" i="67"/>
  <c r="O24" i="67"/>
  <c r="O22" i="67" s="1"/>
  <c r="E19" i="67"/>
  <c r="E15" i="67"/>
  <c r="E13" i="67" s="1"/>
  <c r="G10" i="67"/>
  <c r="G6" i="67"/>
  <c r="G4" i="67" s="1"/>
  <c r="D28" i="67"/>
  <c r="D24" i="67"/>
  <c r="D22" i="67" s="1"/>
  <c r="R10" i="67"/>
  <c r="R6" i="67"/>
  <c r="R4" i="67" s="1"/>
  <c r="H28" i="67"/>
  <c r="H24" i="67"/>
  <c r="H22" i="67" s="1"/>
  <c r="F28" i="67"/>
  <c r="F24" i="67"/>
  <c r="F22" i="67" s="1"/>
  <c r="B28" i="67"/>
  <c r="B24" i="67"/>
  <c r="B22" i="67" s="1"/>
  <c r="F19" i="67"/>
  <c r="F15" i="67"/>
  <c r="F13" i="67" s="1"/>
  <c r="L19" i="67"/>
  <c r="L15" i="67"/>
  <c r="L13" i="67" s="1"/>
  <c r="C10" i="67"/>
  <c r="C6" i="67"/>
  <c r="C4" i="67" s="1"/>
  <c r="F10" i="67"/>
  <c r="F6" i="67"/>
  <c r="F4" i="67" s="1"/>
  <c r="P28" i="67"/>
  <c r="P24" i="67"/>
  <c r="P22" i="67" s="1"/>
  <c r="L28" i="67"/>
  <c r="L24" i="67"/>
  <c r="L22" i="67" s="1"/>
  <c r="P19" i="67"/>
  <c r="P15" i="67"/>
  <c r="P13" i="67" s="1"/>
  <c r="B19" i="67"/>
  <c r="B15" i="67"/>
  <c r="B13" i="67" s="1"/>
  <c r="E10" i="67"/>
  <c r="E6" i="67"/>
  <c r="E4" i="67" s="1"/>
  <c r="L10" i="67"/>
  <c r="L6" i="67"/>
  <c r="L4" i="67" s="1"/>
  <c r="N24" i="64"/>
  <c r="R11" i="64"/>
  <c r="O24" i="64"/>
  <c r="T17" i="50"/>
  <c r="R23" i="64"/>
  <c r="B119" i="56"/>
  <c r="T16" i="50"/>
  <c r="M14" i="64"/>
  <c r="Q18" i="50"/>
  <c r="Q26" i="50"/>
  <c r="Q16" i="50"/>
  <c r="R22" i="64"/>
  <c r="B43" i="65"/>
  <c r="R12" i="64"/>
  <c r="T9" i="50"/>
  <c r="T12" i="50"/>
  <c r="N12" i="64"/>
  <c r="Q8" i="50"/>
  <c r="O6" i="64"/>
  <c r="M20" i="64"/>
  <c r="O22" i="64"/>
  <c r="Q7" i="50"/>
  <c r="R26" i="64"/>
  <c r="R25" i="64"/>
  <c r="N26" i="64"/>
  <c r="Q19" i="50"/>
  <c r="Q20" i="50"/>
  <c r="N10" i="64"/>
  <c r="B39" i="74"/>
  <c r="R4" i="64"/>
  <c r="Q5" i="50"/>
  <c r="Q15" i="50"/>
  <c r="N6" i="64"/>
  <c r="N15" i="50"/>
  <c r="B106" i="50"/>
  <c r="B40" i="63"/>
  <c r="N19" i="64"/>
  <c r="T25" i="50"/>
  <c r="M18" i="64"/>
  <c r="N15" i="64"/>
  <c r="N21" i="64"/>
  <c r="M22" i="64"/>
  <c r="O16" i="64"/>
  <c r="T18" i="50"/>
  <c r="Q11" i="50"/>
  <c r="N9" i="64"/>
  <c r="T15" i="50"/>
  <c r="O26" i="64"/>
  <c r="Q4" i="50"/>
  <c r="Q22" i="50"/>
  <c r="B36" i="63"/>
  <c r="T10" i="50"/>
  <c r="R14" i="50"/>
  <c r="O4" i="64"/>
  <c r="O16" i="50"/>
  <c r="B43" i="62"/>
  <c r="Q25" i="50"/>
  <c r="N16" i="64"/>
  <c r="R14" i="64"/>
  <c r="M12" i="64"/>
  <c r="M5" i="64"/>
  <c r="B39" i="71"/>
  <c r="T22" i="50"/>
  <c r="T21" i="50"/>
  <c r="B122" i="56"/>
  <c r="B119" i="50"/>
  <c r="R4" i="50"/>
  <c r="M15" i="64"/>
  <c r="T5" i="50"/>
  <c r="R20" i="64"/>
  <c r="M9" i="64"/>
  <c r="N5" i="64"/>
  <c r="R21" i="64"/>
  <c r="M4" i="64"/>
  <c r="N18" i="64"/>
  <c r="Q21" i="50"/>
  <c r="O17" i="64"/>
  <c r="M11" i="64"/>
  <c r="B111" i="50"/>
  <c r="Q17" i="50"/>
  <c r="O12" i="64"/>
  <c r="N23" i="64"/>
  <c r="B123" i="50"/>
  <c r="T3" i="50"/>
  <c r="O14" i="64"/>
  <c r="R19" i="64"/>
  <c r="O3" i="50"/>
  <c r="T11" i="50"/>
  <c r="M10" i="64"/>
  <c r="Q24" i="50"/>
  <c r="N22" i="64"/>
  <c r="N13" i="64"/>
  <c r="R20" i="50"/>
  <c r="Q3" i="50"/>
  <c r="B36" i="67"/>
  <c r="O5" i="64"/>
  <c r="M24" i="64"/>
  <c r="R24" i="64"/>
  <c r="R3" i="64"/>
  <c r="Q13" i="50"/>
  <c r="O21" i="64"/>
  <c r="T26" i="50"/>
  <c r="O3" i="64"/>
  <c r="B109" i="64"/>
  <c r="T6" i="50"/>
  <c r="T20" i="50"/>
  <c r="Q9" i="50"/>
  <c r="R16" i="64"/>
  <c r="M26" i="64"/>
  <c r="O25" i="64"/>
  <c r="R7" i="64"/>
  <c r="N11" i="64"/>
  <c r="O18" i="64"/>
  <c r="Q6" i="50"/>
  <c r="Q23" i="50"/>
  <c r="B106" i="64"/>
  <c r="R18" i="64"/>
  <c r="B122" i="51"/>
  <c r="B110" i="50"/>
  <c r="M19" i="64"/>
  <c r="T24" i="50"/>
  <c r="O10" i="64"/>
  <c r="B36" i="71"/>
  <c r="O19" i="64"/>
  <c r="R17" i="64"/>
  <c r="Q12" i="50"/>
  <c r="O8" i="64"/>
  <c r="R8" i="64"/>
  <c r="O25" i="50"/>
  <c r="M9" i="50"/>
  <c r="B119" i="51"/>
  <c r="B36" i="74"/>
  <c r="T7" i="50"/>
  <c r="R9" i="64"/>
  <c r="M21" i="64"/>
  <c r="O23" i="50"/>
  <c r="O7" i="64"/>
  <c r="T8" i="50"/>
  <c r="T19" i="50"/>
  <c r="O13" i="64"/>
  <c r="M7" i="64"/>
  <c r="O11" i="64"/>
  <c r="N25" i="64"/>
  <c r="T23" i="50"/>
  <c r="O20" i="64"/>
  <c r="M13" i="64"/>
  <c r="N7" i="64"/>
  <c r="M8" i="64"/>
  <c r="Q14" i="50"/>
  <c r="T14" i="50"/>
  <c r="T4" i="50"/>
  <c r="B119" i="64"/>
  <c r="R5" i="64"/>
  <c r="O23" i="64"/>
  <c r="N8" i="64"/>
  <c r="R6" i="64"/>
  <c r="T13" i="50"/>
  <c r="N17" i="64"/>
  <c r="O15" i="64"/>
  <c r="R13" i="64"/>
  <c r="R10" i="64"/>
  <c r="Q10" i="50"/>
  <c r="M6" i="64"/>
  <c r="E27" i="63" l="1"/>
  <c r="D27" i="63"/>
  <c r="E9" i="63"/>
  <c r="M18" i="63"/>
  <c r="D9" i="63"/>
  <c r="E18" i="63"/>
  <c r="N9" i="63"/>
  <c r="R27" i="63"/>
  <c r="C9" i="63"/>
  <c r="N27" i="63"/>
  <c r="Q18" i="63"/>
  <c r="O9" i="63"/>
  <c r="R18" i="63"/>
  <c r="C27" i="63"/>
  <c r="P9" i="63"/>
  <c r="F18" i="63"/>
  <c r="R9" i="63"/>
  <c r="B18" i="63"/>
  <c r="L9" i="63"/>
  <c r="Q27" i="63"/>
  <c r="G27" i="63"/>
  <c r="F9" i="63"/>
  <c r="H18" i="63"/>
  <c r="H19" i="63" s="1"/>
  <c r="I27" i="63"/>
  <c r="N18" i="63"/>
  <c r="I18" i="63"/>
  <c r="L27" i="63"/>
  <c r="S18" i="63"/>
  <c r="C18" i="63"/>
  <c r="S9" i="63"/>
  <c r="B27" i="63"/>
  <c r="L18" i="63"/>
  <c r="P27" i="63"/>
  <c r="I9" i="63"/>
  <c r="O27" i="63"/>
  <c r="D18" i="63"/>
  <c r="S27" i="63"/>
  <c r="G9" i="63"/>
  <c r="Q9" i="63"/>
  <c r="P17" i="64"/>
  <c r="P16" i="64"/>
  <c r="P5" i="64"/>
  <c r="P20" i="64"/>
  <c r="P13" i="64"/>
  <c r="P4" i="64"/>
  <c r="P22" i="64"/>
  <c r="P26" i="64"/>
  <c r="P25" i="64"/>
  <c r="P6" i="64"/>
  <c r="P7" i="64"/>
  <c r="P8" i="64"/>
  <c r="P15" i="64"/>
  <c r="P18" i="64"/>
  <c r="P10" i="64"/>
  <c r="P24" i="64"/>
  <c r="P23" i="64"/>
  <c r="P19" i="64"/>
  <c r="P12" i="64"/>
  <c r="P11" i="64"/>
  <c r="P14" i="64"/>
  <c r="P21" i="64"/>
  <c r="S24" i="64"/>
  <c r="S22" i="64"/>
  <c r="S23" i="64"/>
  <c r="S20" i="64"/>
  <c r="S4" i="64"/>
  <c r="S17" i="64"/>
  <c r="S7" i="64"/>
  <c r="S26" i="64"/>
  <c r="S12" i="64"/>
  <c r="S5" i="64"/>
  <c r="S13" i="64"/>
  <c r="S19" i="64"/>
  <c r="S8" i="64"/>
  <c r="S9" i="64"/>
  <c r="S11" i="64"/>
  <c r="S6" i="64"/>
  <c r="S10" i="64"/>
  <c r="S25" i="64"/>
  <c r="S18" i="64"/>
  <c r="S21" i="64"/>
  <c r="S14" i="64"/>
  <c r="S16" i="64"/>
  <c r="S3" i="64"/>
  <c r="P3" i="64"/>
  <c r="S14" i="50"/>
  <c r="S4" i="50"/>
  <c r="S20" i="50"/>
  <c r="P23" i="50"/>
  <c r="P16" i="50"/>
  <c r="P25" i="50"/>
  <c r="P3" i="50"/>
  <c r="H22" i="64"/>
  <c r="H21" i="64"/>
  <c r="D30" i="69"/>
  <c r="D29" i="69"/>
  <c r="D29" i="65"/>
  <c r="M24" i="63"/>
  <c r="M22" i="63" s="1"/>
  <c r="D30" i="62"/>
  <c r="H24" i="63"/>
  <c r="H22" i="63" s="1"/>
  <c r="M6" i="63"/>
  <c r="M4" i="63" s="1"/>
  <c r="P19" i="63"/>
  <c r="H10" i="63"/>
  <c r="B6" i="63"/>
  <c r="B4" i="63" s="1"/>
  <c r="G15" i="63"/>
  <c r="G13" i="63" s="1"/>
  <c r="F24" i="63"/>
  <c r="F22" i="63" s="1"/>
  <c r="B36" i="65"/>
  <c r="B36" i="62"/>
  <c r="O15" i="63"/>
  <c r="O13" i="63" s="1"/>
  <c r="N4" i="64"/>
  <c r="O9" i="50"/>
  <c r="O9" i="2"/>
  <c r="B117" i="51"/>
  <c r="B108" i="50"/>
  <c r="O9" i="64"/>
  <c r="N9" i="2"/>
  <c r="B117" i="56"/>
  <c r="M21" i="2"/>
  <c r="O17" i="50"/>
  <c r="N3" i="64"/>
  <c r="B117" i="64"/>
  <c r="L28" i="2"/>
  <c r="L8" i="2"/>
  <c r="M25" i="50"/>
  <c r="B34" i="63"/>
  <c r="B34" i="74"/>
  <c r="B108" i="64"/>
  <c r="M28" i="2"/>
  <c r="M16" i="64"/>
  <c r="N4" i="50"/>
  <c r="M16" i="50"/>
  <c r="M25" i="64"/>
  <c r="M8" i="2"/>
  <c r="B39" i="67"/>
  <c r="N20" i="50"/>
  <c r="N14" i="50"/>
  <c r="B34" i="71"/>
  <c r="B122" i="64"/>
  <c r="B39" i="63"/>
  <c r="N19" i="2"/>
  <c r="M23" i="64"/>
  <c r="B107" i="50"/>
  <c r="M3" i="50"/>
  <c r="B117" i="50"/>
  <c r="N20" i="64"/>
  <c r="M17" i="64"/>
  <c r="B34" i="67"/>
  <c r="M3" i="64"/>
  <c r="L21" i="2"/>
  <c r="L30" i="2"/>
  <c r="R15" i="64"/>
  <c r="N14" i="64"/>
  <c r="N25" i="2"/>
  <c r="M30" i="2"/>
  <c r="O25" i="2"/>
  <c r="R15" i="50"/>
  <c r="M23" i="50"/>
  <c r="O19" i="2"/>
  <c r="B38" i="74"/>
  <c r="B122" i="50"/>
  <c r="P17" i="50" l="1"/>
  <c r="N10" i="63"/>
  <c r="N6" i="63"/>
  <c r="N4" i="63" s="1"/>
  <c r="C24" i="63"/>
  <c r="C22" i="63" s="1"/>
  <c r="C28" i="63"/>
  <c r="S24" i="63"/>
  <c r="S22" i="63" s="1"/>
  <c r="S28" i="63"/>
  <c r="C15" i="63"/>
  <c r="C13" i="63" s="1"/>
  <c r="C19" i="63"/>
  <c r="G24" i="63"/>
  <c r="G22" i="63" s="1"/>
  <c r="G28" i="63"/>
  <c r="R15" i="63"/>
  <c r="R13" i="63" s="1"/>
  <c r="R19" i="63"/>
  <c r="D10" i="63"/>
  <c r="D6" i="63"/>
  <c r="D4" i="63" s="1"/>
  <c r="H15" i="63"/>
  <c r="H13" i="63" s="1"/>
  <c r="D19" i="63"/>
  <c r="D15" i="63"/>
  <c r="D13" i="63" s="1"/>
  <c r="S19" i="63"/>
  <c r="S15" i="63"/>
  <c r="S13" i="63" s="1"/>
  <c r="Q24" i="63"/>
  <c r="Q22" i="63" s="1"/>
  <c r="Q28" i="63"/>
  <c r="O6" i="63"/>
  <c r="O4" i="63" s="1"/>
  <c r="O10" i="63"/>
  <c r="M15" i="63"/>
  <c r="M13" i="63" s="1"/>
  <c r="M19" i="63"/>
  <c r="I24" i="63"/>
  <c r="I22" i="63" s="1"/>
  <c r="I28" i="63"/>
  <c r="R24" i="63"/>
  <c r="R22" i="63" s="1"/>
  <c r="R28" i="63"/>
  <c r="B24" i="63"/>
  <c r="B22" i="63" s="1"/>
  <c r="B28" i="63"/>
  <c r="G6" i="63"/>
  <c r="G4" i="63" s="1"/>
  <c r="G10" i="63"/>
  <c r="S10" i="63"/>
  <c r="S6" i="63"/>
  <c r="S4" i="63" s="1"/>
  <c r="F6" i="63"/>
  <c r="F4" i="63" s="1"/>
  <c r="F10" i="63"/>
  <c r="E19" i="63"/>
  <c r="E15" i="63"/>
  <c r="E13" i="63" s="1"/>
  <c r="O24" i="63"/>
  <c r="O22" i="63" s="1"/>
  <c r="O28" i="63"/>
  <c r="L28" i="63"/>
  <c r="L24" i="63"/>
  <c r="L22" i="63" s="1"/>
  <c r="L10" i="63"/>
  <c r="L6" i="63"/>
  <c r="Q15" i="63"/>
  <c r="Q13" i="63" s="1"/>
  <c r="Q19" i="63"/>
  <c r="E6" i="63"/>
  <c r="E4" i="63" s="1"/>
  <c r="E10" i="63"/>
  <c r="I6" i="63"/>
  <c r="I4" i="63" s="1"/>
  <c r="I10" i="63"/>
  <c r="I19" i="63"/>
  <c r="I15" i="63"/>
  <c r="I13" i="63" s="1"/>
  <c r="B15" i="63"/>
  <c r="B13" i="63" s="1"/>
  <c r="B19" i="63"/>
  <c r="N28" i="63"/>
  <c r="N24" i="63"/>
  <c r="N22" i="63" s="1"/>
  <c r="D24" i="63"/>
  <c r="D22" i="63" s="1"/>
  <c r="D28" i="63"/>
  <c r="L15" i="63"/>
  <c r="L13" i="63" s="1"/>
  <c r="L19" i="63"/>
  <c r="F15" i="63"/>
  <c r="F13" i="63" s="1"/>
  <c r="F19" i="63"/>
  <c r="Q10" i="63"/>
  <c r="Q6" i="63"/>
  <c r="Q4" i="63" s="1"/>
  <c r="P6" i="63"/>
  <c r="P4" i="63" s="1"/>
  <c r="P10" i="63"/>
  <c r="P24" i="63"/>
  <c r="P22" i="63" s="1"/>
  <c r="P28" i="63"/>
  <c r="N15" i="63"/>
  <c r="N13" i="63" s="1"/>
  <c r="N19" i="63"/>
  <c r="R6" i="63"/>
  <c r="R4" i="63" s="1"/>
  <c r="R10" i="63"/>
  <c r="C6" i="63"/>
  <c r="C4" i="63" s="1"/>
  <c r="C10" i="63"/>
  <c r="E28" i="63"/>
  <c r="E24" i="63"/>
  <c r="E22" i="63" s="1"/>
  <c r="P9" i="64"/>
  <c r="S15" i="64"/>
  <c r="S15" i="50"/>
  <c r="P9" i="50"/>
  <c r="I25" i="64"/>
  <c r="F33" i="69"/>
  <c r="F37" i="69"/>
  <c r="F37" i="65"/>
  <c r="F37" i="62"/>
  <c r="F33" i="62"/>
  <c r="F33" i="65"/>
  <c r="N5" i="50"/>
  <c r="R9" i="50"/>
  <c r="R22" i="50"/>
  <c r="B38" i="67"/>
  <c r="M21" i="50"/>
  <c r="N13" i="50"/>
  <c r="O14" i="50"/>
  <c r="N25" i="50"/>
  <c r="M24" i="50"/>
  <c r="B109" i="50"/>
  <c r="N8" i="50"/>
  <c r="R6" i="50"/>
  <c r="R3" i="50"/>
  <c r="R10" i="50"/>
  <c r="R8" i="50"/>
  <c r="M14" i="2"/>
  <c r="O15" i="50"/>
  <c r="N6" i="50"/>
  <c r="R18" i="50"/>
  <c r="O18" i="50"/>
  <c r="M22" i="50"/>
  <c r="M5" i="50"/>
  <c r="N11" i="50"/>
  <c r="O7" i="50"/>
  <c r="M15" i="50"/>
  <c r="O6" i="50"/>
  <c r="M10" i="50"/>
  <c r="O10" i="50"/>
  <c r="M18" i="50"/>
  <c r="R5" i="50"/>
  <c r="N20" i="2"/>
  <c r="M17" i="50"/>
  <c r="R23" i="50"/>
  <c r="M19" i="50"/>
  <c r="B121" i="50"/>
  <c r="M4" i="50"/>
  <c r="N9" i="50"/>
  <c r="B38" i="71"/>
  <c r="M8" i="50"/>
  <c r="M26" i="50"/>
  <c r="N23" i="50"/>
  <c r="O20" i="50"/>
  <c r="O13" i="50"/>
  <c r="M6" i="50"/>
  <c r="O19" i="50"/>
  <c r="R13" i="50"/>
  <c r="M12" i="50"/>
  <c r="M13" i="50"/>
  <c r="O11" i="50"/>
  <c r="R19" i="50"/>
  <c r="O21" i="50"/>
  <c r="O4" i="50"/>
  <c r="N24" i="50"/>
  <c r="N12" i="50"/>
  <c r="O12" i="50"/>
  <c r="O26" i="50"/>
  <c r="B121" i="56"/>
  <c r="L14" i="2"/>
  <c r="N18" i="50"/>
  <c r="M14" i="50"/>
  <c r="R16" i="50"/>
  <c r="O24" i="50"/>
  <c r="N17" i="50"/>
  <c r="L22" i="2"/>
  <c r="O22" i="50"/>
  <c r="M22" i="2"/>
  <c r="N16" i="50"/>
  <c r="N7" i="50"/>
  <c r="N22" i="50"/>
  <c r="M20" i="50"/>
  <c r="R25" i="50"/>
  <c r="R17" i="50"/>
  <c r="O20" i="2"/>
  <c r="N10" i="50"/>
  <c r="R24" i="50"/>
  <c r="B121" i="64"/>
  <c r="R11" i="50"/>
  <c r="E52" i="67"/>
  <c r="R21" i="50"/>
  <c r="N21" i="50"/>
  <c r="R26" i="50"/>
  <c r="M7" i="50"/>
  <c r="M11" i="50"/>
  <c r="B121" i="51"/>
  <c r="B38" i="63"/>
  <c r="O5" i="50"/>
  <c r="E53" i="67"/>
  <c r="N26" i="50"/>
  <c r="R7" i="50"/>
  <c r="N19" i="50"/>
  <c r="R12" i="50"/>
  <c r="O8" i="50"/>
  <c r="S13" i="50" l="1"/>
  <c r="P11" i="50"/>
  <c r="P19" i="50"/>
  <c r="P14" i="50"/>
  <c r="S26" i="50"/>
  <c r="S23" i="50"/>
  <c r="S11" i="50"/>
  <c r="P7" i="50"/>
  <c r="S25" i="50"/>
  <c r="S24" i="50"/>
  <c r="P5" i="50"/>
  <c r="S6" i="50"/>
  <c r="S17" i="50"/>
  <c r="P4" i="50"/>
  <c r="S10" i="50"/>
  <c r="P15" i="50"/>
  <c r="S3" i="50"/>
  <c r="P21" i="50"/>
  <c r="P10" i="50"/>
  <c r="P24" i="50"/>
  <c r="S9" i="50"/>
  <c r="P6" i="50"/>
  <c r="P8" i="50"/>
  <c r="S12" i="50"/>
  <c r="S5" i="50"/>
  <c r="S16" i="50"/>
  <c r="P22" i="50"/>
  <c r="P18" i="50"/>
  <c r="P20" i="50"/>
  <c r="S7" i="50"/>
  <c r="P26" i="50"/>
  <c r="S19" i="50"/>
  <c r="S18" i="50"/>
  <c r="S22" i="50"/>
  <c r="S8" i="50"/>
  <c r="S21" i="50"/>
  <c r="P13" i="50"/>
  <c r="P12" i="50"/>
  <c r="L4" i="63"/>
  <c r="H21" i="50"/>
  <c r="H20" i="56"/>
  <c r="H20" i="51"/>
  <c r="I22" i="64"/>
  <c r="H26" i="64"/>
  <c r="H26" i="50"/>
  <c r="I21" i="64"/>
  <c r="N22" i="2"/>
  <c r="N31" i="2"/>
  <c r="O23" i="2"/>
  <c r="N15" i="2"/>
  <c r="N23" i="2"/>
  <c r="L23" i="2"/>
  <c r="M25" i="2"/>
  <c r="N14" i="2"/>
  <c r="L25" i="2"/>
  <c r="L27" i="2"/>
  <c r="N8" i="2"/>
  <c r="L31" i="2"/>
  <c r="N29" i="2"/>
  <c r="M17" i="2"/>
  <c r="M15" i="2"/>
  <c r="M24" i="2"/>
  <c r="N27" i="2"/>
  <c r="O10" i="2"/>
  <c r="O14" i="2"/>
  <c r="M20" i="2"/>
  <c r="O8" i="2"/>
  <c r="M16" i="2"/>
  <c r="N3" i="50"/>
  <c r="M9" i="2"/>
  <c r="O28" i="2"/>
  <c r="N26" i="2"/>
  <c r="L29" i="2"/>
  <c r="M31" i="2"/>
  <c r="L15" i="2"/>
  <c r="O17" i="2"/>
  <c r="O12" i="2"/>
  <c r="L10" i="2"/>
  <c r="N11" i="2"/>
  <c r="O15" i="2"/>
  <c r="N24" i="2"/>
  <c r="L26" i="2"/>
  <c r="L9" i="2"/>
  <c r="L19" i="2"/>
  <c r="O30" i="2"/>
  <c r="N13" i="2"/>
  <c r="O31" i="2"/>
  <c r="M19" i="2"/>
  <c r="N17" i="2"/>
  <c r="N30" i="2"/>
  <c r="M11" i="2"/>
  <c r="O27" i="2"/>
  <c r="O29" i="2"/>
  <c r="N12" i="2"/>
  <c r="L20" i="2"/>
  <c r="O24" i="2"/>
  <c r="L16" i="2"/>
  <c r="M26" i="2"/>
  <c r="O22" i="2"/>
  <c r="M23" i="2"/>
  <c r="O21" i="2"/>
  <c r="N21" i="2"/>
  <c r="M10" i="2"/>
  <c r="O16" i="2"/>
  <c r="M12" i="2"/>
  <c r="N28" i="2"/>
  <c r="L17" i="2"/>
  <c r="N10" i="2"/>
  <c r="E52" i="63"/>
  <c r="N18" i="2"/>
  <c r="L13" i="2"/>
  <c r="M18" i="2"/>
  <c r="M29" i="2"/>
  <c r="O26" i="2"/>
  <c r="O13" i="2"/>
  <c r="L24" i="2"/>
  <c r="M27" i="2"/>
  <c r="N16" i="2"/>
  <c r="M13" i="2"/>
  <c r="O18" i="2"/>
  <c r="L12" i="2"/>
  <c r="L18" i="2"/>
  <c r="O11" i="2"/>
  <c r="L11" i="2"/>
  <c r="H22" i="50" l="1"/>
  <c r="I21" i="50"/>
  <c r="E53" i="63"/>
  <c r="I22" i="50" l="1"/>
  <c r="I25" i="50"/>
  <c r="L226" i="60" s="1"/>
  <c r="H44" i="2"/>
  <c r="C45" i="2"/>
  <c r="C44" i="2"/>
  <c r="H43" i="2"/>
  <c r="F41" i="2" l="1"/>
  <c r="F45" i="2"/>
  <c r="F51" i="2"/>
  <c r="F42" i="2"/>
  <c r="F49" i="2"/>
  <c r="F47" i="2"/>
  <c r="F39" i="2"/>
  <c r="F46" i="2"/>
  <c r="F43" i="2"/>
  <c r="F44" i="2"/>
  <c r="F50" i="2"/>
  <c r="F40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Frank A. Laberi</author>
  </authors>
  <commentList>
    <comment ref="F65" authorId="0" shapeId="0" xr:uid="{B75D04FE-8ECA-4D17-B240-935AE603BEE1}">
      <text>
        <r>
          <rPr>
            <b/>
            <sz val="9"/>
            <color indexed="81"/>
            <rFont val="Tahoma"/>
            <family val="2"/>
          </rPr>
          <t>Usually 30 SPM or under</t>
        </r>
      </text>
    </comment>
    <comment ref="O65" authorId="0" shapeId="0" xr:uid="{FEC4562D-6D2F-4D3F-914C-513002B049AF}">
      <text>
        <r>
          <rPr>
            <b/>
            <sz val="9"/>
            <color indexed="81"/>
            <rFont val="Tahoma"/>
            <family val="2"/>
          </rPr>
          <t>Much Faster than 30 SPM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Keary</author>
  </authors>
  <commentList>
    <comment ref="D9" authorId="0" shapeId="0" xr:uid="{A4E5AF0F-F1C4-4787-B65A-7EC4E0E7D85A}">
      <text>
        <r>
          <rPr>
            <b/>
            <sz val="9"/>
            <color indexed="81"/>
            <rFont val="Tahoma"/>
            <family val="2"/>
          </rPr>
          <t>Paul Keary:</t>
        </r>
        <r>
          <rPr>
            <sz val="9"/>
            <color indexed="81"/>
            <rFont val="Tahoma"/>
            <family val="2"/>
          </rPr>
          <t xml:space="preserve">
Put 'X' here to allow selection of old models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dhl</author>
    <author>Donald H. Lund</author>
  </authors>
  <commentList>
    <comment ref="E18" authorId="0" shapeId="0" xr:uid="{093E90DF-FC00-441B-9F19-C5F632E6332E}">
      <text>
        <r>
          <rPr>
            <b/>
            <sz val="10"/>
            <color indexed="81"/>
            <rFont val="Tahoma"/>
            <family val="2"/>
          </rPr>
          <t>Material Thickness - this 
= Material Deflection</t>
        </r>
      </text>
    </comment>
    <comment ref="H33" authorId="1" shapeId="0" xr:uid="{537DA90F-A71B-41CE-A984-766EA00D19D1}">
      <text>
        <r>
          <rPr>
            <b/>
            <sz val="10"/>
            <color indexed="81"/>
            <rFont val="Arial"/>
            <family val="2"/>
          </rPr>
          <t>Ry / 2.4</t>
        </r>
        <r>
          <rPr>
            <b/>
            <sz val="8"/>
            <color indexed="81"/>
            <rFont val="Tahoma"/>
            <family val="2"/>
          </rPr>
          <t xml:space="preserve">
</t>
        </r>
      </text>
    </comment>
    <comment ref="I33" authorId="1" shapeId="0" xr:uid="{76C77376-A3BF-4497-B779-EDF880479423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K33" authorId="1" shapeId="0" xr:uid="{E11010B0-AECA-4259-BAB9-9950B5953C57}">
      <text>
        <r>
          <rPr>
            <sz val="10"/>
            <color indexed="81"/>
            <rFont val="Arial"/>
            <family val="2"/>
          </rPr>
          <t>This gets stored in WR1 roll height on "RESET"</t>
        </r>
      </text>
    </comment>
    <comment ref="I34" authorId="1" shapeId="0" xr:uid="{46A7A19A-4847-4829-B6B0-FBFF65FCB078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I35" authorId="1" shapeId="0" xr:uid="{970C21E3-EA99-4B13-B82E-A745696E45E4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I42" authorId="1" shapeId="0" xr:uid="{50CB4C20-8876-4C67-B833-4A905BC32720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dhl</author>
    <author>Donald H. Lund</author>
  </authors>
  <commentList>
    <comment ref="E18" authorId="0" shapeId="0" xr:uid="{DE2EB5CE-DA9C-452E-88FE-3EBCCA7B08C5}">
      <text>
        <r>
          <rPr>
            <b/>
            <sz val="10"/>
            <color indexed="81"/>
            <rFont val="Tahoma"/>
            <family val="2"/>
          </rPr>
          <t>Material Thickness - this 
= Material Deflection</t>
        </r>
      </text>
    </comment>
    <comment ref="H33" authorId="1" shapeId="0" xr:uid="{AB60A7A4-0443-47F5-9C34-99F2EDB2AEE6}">
      <text>
        <r>
          <rPr>
            <b/>
            <sz val="10"/>
            <color indexed="81"/>
            <rFont val="Arial"/>
            <family val="2"/>
          </rPr>
          <t>Ry / 2.4</t>
        </r>
        <r>
          <rPr>
            <b/>
            <sz val="8"/>
            <color indexed="81"/>
            <rFont val="Tahoma"/>
            <family val="2"/>
          </rPr>
          <t xml:space="preserve">
</t>
        </r>
      </text>
    </comment>
    <comment ref="I33" authorId="1" shapeId="0" xr:uid="{8D31EA8B-2A4B-4025-80BA-5AA373E86D35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K33" authorId="1" shapeId="0" xr:uid="{B76E9EF8-0DF7-4FE4-9D35-E2A473F704CD}">
      <text>
        <r>
          <rPr>
            <sz val="10"/>
            <color indexed="81"/>
            <rFont val="Arial"/>
            <family val="2"/>
          </rPr>
          <t>This gets stored in WR1 roll height on "RESET"</t>
        </r>
      </text>
    </comment>
    <comment ref="I34" authorId="1" shapeId="0" xr:uid="{A700E65D-CFC6-4675-927E-3BA43E40A2B5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I35" authorId="1" shapeId="0" xr:uid="{3CD12BC4-9279-42B0-A1C5-75ACF07B7892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I42" authorId="1" shapeId="0" xr:uid="{08EFA4D0-04E3-463C-9EA8-DA47111ADFD4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dhl</author>
    <author>Donald H. Lund</author>
  </authors>
  <commentList>
    <comment ref="E18" authorId="0" shapeId="0" xr:uid="{5BC87638-6699-47C2-9199-99252D87D2A8}">
      <text>
        <r>
          <rPr>
            <b/>
            <sz val="10"/>
            <color indexed="81"/>
            <rFont val="Tahoma"/>
            <family val="2"/>
          </rPr>
          <t>Material Thickness - this 
= Material Deflection</t>
        </r>
      </text>
    </comment>
    <comment ref="H33" authorId="1" shapeId="0" xr:uid="{E49302BE-037A-4409-A664-B0885847DF1C}">
      <text>
        <r>
          <rPr>
            <b/>
            <sz val="10"/>
            <color indexed="81"/>
            <rFont val="Arial"/>
            <family val="2"/>
          </rPr>
          <t>Ry / 2.4</t>
        </r>
        <r>
          <rPr>
            <b/>
            <sz val="8"/>
            <color indexed="81"/>
            <rFont val="Tahoma"/>
            <family val="2"/>
          </rPr>
          <t xml:space="preserve">
</t>
        </r>
      </text>
    </comment>
    <comment ref="I33" authorId="1" shapeId="0" xr:uid="{085750AC-9D40-46EB-BC44-83E6207DFC02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K33" authorId="1" shapeId="0" xr:uid="{B1BA1B0A-0C0A-4C2F-83C4-7566B23CD12D}">
      <text>
        <r>
          <rPr>
            <sz val="10"/>
            <color indexed="81"/>
            <rFont val="Arial"/>
            <family val="2"/>
          </rPr>
          <t>This gets stored in WR1 roll height on "RESET"</t>
        </r>
      </text>
    </comment>
    <comment ref="I34" authorId="1" shapeId="0" xr:uid="{A05FEC30-0B6A-4315-AB96-84737B3201BF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I35" authorId="1" shapeId="0" xr:uid="{D40AFEC9-E95B-41FC-B8FD-45EE815F1646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I42" authorId="1" shapeId="0" xr:uid="{82F809BF-17C6-4C8D-96A9-147549F11FB4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dhl</author>
    <author>Donald H. Lund</author>
  </authors>
  <commentList>
    <comment ref="E18" authorId="0" shapeId="0" xr:uid="{4183F7AF-D6F4-4565-9EC5-AE50CFE5C028}">
      <text>
        <r>
          <rPr>
            <b/>
            <sz val="10"/>
            <color indexed="81"/>
            <rFont val="Tahoma"/>
            <family val="2"/>
          </rPr>
          <t>Material Thickness - this 
= Material Deflection</t>
        </r>
      </text>
    </comment>
    <comment ref="H33" authorId="1" shapeId="0" xr:uid="{FA09F782-70D3-4A66-9C20-705F7A6EC53D}">
      <text>
        <r>
          <rPr>
            <b/>
            <sz val="10"/>
            <color indexed="81"/>
            <rFont val="Arial"/>
            <family val="2"/>
          </rPr>
          <t>Ry / 2.4</t>
        </r>
        <r>
          <rPr>
            <b/>
            <sz val="8"/>
            <color indexed="81"/>
            <rFont val="Tahoma"/>
            <family val="2"/>
          </rPr>
          <t xml:space="preserve">
</t>
        </r>
      </text>
    </comment>
    <comment ref="I33" authorId="1" shapeId="0" xr:uid="{44917A50-D125-4C98-96E9-28E955CDA8AB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K33" authorId="1" shapeId="0" xr:uid="{B4BA18DB-FAAF-4F8F-AA11-7E16962D6135}">
      <text>
        <r>
          <rPr>
            <sz val="10"/>
            <color indexed="81"/>
            <rFont val="Arial"/>
            <family val="2"/>
          </rPr>
          <t>This gets stored in WR1 roll height on "RESET"</t>
        </r>
      </text>
    </comment>
    <comment ref="I34" authorId="1" shapeId="0" xr:uid="{7A793C0D-47A4-4765-801C-756783941A70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I35" authorId="1" shapeId="0" xr:uid="{CE60E7EF-39B4-48DA-8BBB-60FAABDA1183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I42" authorId="1" shapeId="0" xr:uid="{DB6A999D-D17D-4674-9996-F55B06A4A68E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Donald H. Lund</author>
  </authors>
  <commentList>
    <comment ref="H33" authorId="0" shapeId="0" xr:uid="{87725CFD-3E42-418B-B0C9-3C518275222D}">
      <text>
        <r>
          <rPr>
            <b/>
            <sz val="10"/>
            <color indexed="81"/>
            <rFont val="Arial"/>
            <family val="2"/>
          </rPr>
          <t>Ry / 2.4</t>
        </r>
        <r>
          <rPr>
            <b/>
            <sz val="8"/>
            <color indexed="81"/>
            <rFont val="Tahoma"/>
            <family val="2"/>
          </rPr>
          <t xml:space="preserve">
</t>
        </r>
      </text>
    </comment>
    <comment ref="I33" authorId="0" shapeId="0" xr:uid="{B1AEC6CE-B977-4BA7-A965-CD6A163BFC8E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K33" authorId="0" shapeId="0" xr:uid="{9E647FD6-BC5A-43F1-8AC9-F47E6F4CC980}">
      <text>
        <r>
          <rPr>
            <sz val="10"/>
            <color indexed="81"/>
            <rFont val="Arial"/>
            <family val="2"/>
          </rPr>
          <t>This gets stored in WR1 roll height on "RESET"</t>
        </r>
      </text>
    </comment>
    <comment ref="I34" authorId="0" shapeId="0" xr:uid="{2D2031D7-8584-4C3D-A569-E0839DF2C4B9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I35" authorId="0" shapeId="0" xr:uid="{820F78AD-58C3-4CFA-8E11-BE184A84756C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I42" authorId="0" shapeId="0" xr:uid="{84C1B982-3255-4C9B-A3D7-3D4BB354CFB4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Donald H. Lund</author>
  </authors>
  <commentList>
    <comment ref="H33" authorId="0" shapeId="0" xr:uid="{198CA454-2128-4895-8879-172BD9EE5D22}">
      <text>
        <r>
          <rPr>
            <b/>
            <sz val="10"/>
            <color indexed="81"/>
            <rFont val="Arial"/>
            <family val="2"/>
          </rPr>
          <t>Ry / 2.4</t>
        </r>
        <r>
          <rPr>
            <b/>
            <sz val="8"/>
            <color indexed="81"/>
            <rFont val="Tahoma"/>
            <family val="2"/>
          </rPr>
          <t xml:space="preserve">
</t>
        </r>
      </text>
    </comment>
    <comment ref="I33" authorId="0" shapeId="0" xr:uid="{4DC7552F-7F53-4F00-9698-ACC6795E93B3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K33" authorId="0" shapeId="0" xr:uid="{35E892D9-AC89-4DBD-B9EC-8707A857563C}">
      <text>
        <r>
          <rPr>
            <sz val="10"/>
            <color indexed="81"/>
            <rFont val="Arial"/>
            <family val="2"/>
          </rPr>
          <t>This gets stored in WR1 roll height on "RESET"</t>
        </r>
      </text>
    </comment>
    <comment ref="I34" authorId="0" shapeId="0" xr:uid="{71F4FB5B-506D-4B57-BD34-70BBDC3D8F2A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I35" authorId="0" shapeId="0" xr:uid="{CE98578E-8B61-4364-B4A3-49BA92FCA934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I42" authorId="0" shapeId="0" xr:uid="{96BC907E-B74E-4C21-A1FE-481627C6B742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Donald H. Lund</author>
  </authors>
  <commentList>
    <comment ref="H33" authorId="0" shapeId="0" xr:uid="{8927D209-9779-4308-BFD5-DB78EF0D9FCA}">
      <text>
        <r>
          <rPr>
            <b/>
            <sz val="10"/>
            <color indexed="81"/>
            <rFont val="Arial"/>
            <family val="2"/>
          </rPr>
          <t>Ry / 2.4</t>
        </r>
        <r>
          <rPr>
            <b/>
            <sz val="8"/>
            <color indexed="81"/>
            <rFont val="Tahoma"/>
            <family val="2"/>
          </rPr>
          <t xml:space="preserve">
</t>
        </r>
      </text>
    </comment>
    <comment ref="I33" authorId="0" shapeId="0" xr:uid="{C255EF29-2497-44A6-875E-5E125C982402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K33" authorId="0" shapeId="0" xr:uid="{BE6846A9-D768-4AA4-9569-2DD9D25255A5}">
      <text>
        <r>
          <rPr>
            <sz val="10"/>
            <color indexed="81"/>
            <rFont val="Arial"/>
            <family val="2"/>
          </rPr>
          <t>This gets stored in WR1 roll height on "RESET"</t>
        </r>
      </text>
    </comment>
    <comment ref="I34" authorId="0" shapeId="0" xr:uid="{09D2423E-6C17-44E6-9EBE-3502BFC972D1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I35" authorId="0" shapeId="0" xr:uid="{75A78398-1A9B-4994-B730-CB35842B1D37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I42" authorId="0" shapeId="0" xr:uid="{8B03ED8F-D739-48F3-8D51-08EF65FF1BCC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Donald H. Lund</author>
  </authors>
  <commentList>
    <comment ref="H33" authorId="0" shapeId="0" xr:uid="{685B2BE5-4B6E-4A92-B02E-C27F64C068FF}">
      <text>
        <r>
          <rPr>
            <b/>
            <sz val="10"/>
            <color indexed="81"/>
            <rFont val="Arial"/>
            <family val="2"/>
          </rPr>
          <t>Ry / 2.4</t>
        </r>
        <r>
          <rPr>
            <b/>
            <sz val="8"/>
            <color indexed="81"/>
            <rFont val="Tahoma"/>
            <family val="2"/>
          </rPr>
          <t xml:space="preserve">
</t>
        </r>
      </text>
    </comment>
    <comment ref="I33" authorId="0" shapeId="0" xr:uid="{8E176B57-52C7-44E1-9435-9A0B7CAE5D43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K33" authorId="0" shapeId="0" xr:uid="{DC527069-555E-484A-8E1B-4F85AF95BDC3}">
      <text>
        <r>
          <rPr>
            <sz val="10"/>
            <color indexed="81"/>
            <rFont val="Arial"/>
            <family val="2"/>
          </rPr>
          <t>This gets stored in WR1 roll height on "RESET"</t>
        </r>
      </text>
    </comment>
    <comment ref="I34" authorId="0" shapeId="0" xr:uid="{D9D530C3-C565-4149-8143-2D0DA505E0C5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I35" authorId="0" shapeId="0" xr:uid="{442AF6B5-9591-43EA-BF5A-F7EA0D9DD01C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I42" authorId="0" shapeId="0" xr:uid="{27BE5BA7-A56B-4BE5-90B8-EF77DC5D517D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Donald H. Lund</author>
  </authors>
  <commentList>
    <comment ref="H33" authorId="0" shapeId="0" xr:uid="{11085A48-77D9-47AC-B45F-4B07943516BF}">
      <text>
        <r>
          <rPr>
            <b/>
            <sz val="10"/>
            <color indexed="81"/>
            <rFont val="Arial"/>
            <family val="2"/>
          </rPr>
          <t>Ry / 2.4</t>
        </r>
        <r>
          <rPr>
            <b/>
            <sz val="8"/>
            <color indexed="81"/>
            <rFont val="Tahoma"/>
            <family val="2"/>
          </rPr>
          <t xml:space="preserve">
</t>
        </r>
      </text>
    </comment>
    <comment ref="I33" authorId="0" shapeId="0" xr:uid="{BB2D2213-62E2-4E54-9C01-EFEB7D709305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K33" authorId="0" shapeId="0" xr:uid="{C26041C1-CC6E-46F0-BA1F-0137270B2321}">
      <text>
        <r>
          <rPr>
            <sz val="10"/>
            <color indexed="81"/>
            <rFont val="Arial"/>
            <family val="2"/>
          </rPr>
          <t>This gets stored in WR1 roll height on "RESET"</t>
        </r>
      </text>
    </comment>
    <comment ref="I34" authorId="0" shapeId="0" xr:uid="{E0B4B45A-69DB-4082-90B3-3D8852CB286F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I35" authorId="0" shapeId="0" xr:uid="{14460DFE-9D13-4B87-9D83-331B096DECD2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I42" authorId="0" shapeId="0" xr:uid="{3A3382A5-864B-4840-8877-66674B3E2B19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Donald H. Lund</author>
  </authors>
  <commentList>
    <comment ref="H33" authorId="0" shapeId="0" xr:uid="{7D0922C5-DD8C-410E-B803-F0E3375BE0C1}">
      <text>
        <r>
          <rPr>
            <b/>
            <sz val="10"/>
            <color indexed="81"/>
            <rFont val="Arial"/>
            <family val="2"/>
          </rPr>
          <t>Ry / 2.4</t>
        </r>
        <r>
          <rPr>
            <b/>
            <sz val="8"/>
            <color indexed="81"/>
            <rFont val="Tahoma"/>
            <family val="2"/>
          </rPr>
          <t xml:space="preserve">
</t>
        </r>
      </text>
    </comment>
    <comment ref="I33" authorId="0" shapeId="0" xr:uid="{4B9CDA2A-5C7E-4CC4-9806-FF263FAEA5BD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K33" authorId="0" shapeId="0" xr:uid="{725BE59D-16E4-4F83-BD63-776069A89F2A}">
      <text>
        <r>
          <rPr>
            <sz val="10"/>
            <color indexed="81"/>
            <rFont val="Arial"/>
            <family val="2"/>
          </rPr>
          <t>This gets stored in WR1 roll height on "RESET"</t>
        </r>
      </text>
    </comment>
    <comment ref="I34" authorId="0" shapeId="0" xr:uid="{480DFDA8-1F2F-4ECD-BA14-0C14A040FC9B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I35" authorId="0" shapeId="0" xr:uid="{82DBEC57-E839-478E-B4CC-0E0F44863F9A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I42" authorId="0" shapeId="0" xr:uid="{D2FC6524-34A8-4D89-A0D3-A174A6A78574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Donald H. Lund</author>
  </authors>
  <commentList>
    <comment ref="H33" authorId="0" shapeId="0" xr:uid="{13083EF5-B0F1-4296-82EF-E9174270D7E6}">
      <text>
        <r>
          <rPr>
            <b/>
            <sz val="10"/>
            <color indexed="81"/>
            <rFont val="Arial"/>
            <family val="2"/>
          </rPr>
          <t>Ry / 2.4</t>
        </r>
        <r>
          <rPr>
            <b/>
            <sz val="8"/>
            <color indexed="81"/>
            <rFont val="Tahoma"/>
            <family val="2"/>
          </rPr>
          <t xml:space="preserve">
</t>
        </r>
      </text>
    </comment>
    <comment ref="I33" authorId="0" shapeId="0" xr:uid="{D5DA1AEF-F5EF-4AD9-A9A3-E40B1736841B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K33" authorId="0" shapeId="0" xr:uid="{6E06EDDF-C71C-46FA-B4E6-B11296A2F659}">
      <text>
        <r>
          <rPr>
            <sz val="10"/>
            <color indexed="81"/>
            <rFont val="Arial"/>
            <family val="2"/>
          </rPr>
          <t>This gets stored in WR1 roll height on "RESET"</t>
        </r>
      </text>
    </comment>
    <comment ref="I34" authorId="0" shapeId="0" xr:uid="{FD30DD0C-D48F-44D7-8EF4-50F635869B63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I35" authorId="0" shapeId="0" xr:uid="{1919B539-73F2-4149-9D88-C5C9E93FF351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I42" authorId="0" shapeId="0" xr:uid="{34095150-0FD5-4366-B344-532E2190B9BE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Donald H. Lund</author>
  </authors>
  <commentList>
    <comment ref="H33" authorId="0" shapeId="0" xr:uid="{ECF5EAF1-BB79-49D4-A32B-E8C07A6F0393}">
      <text>
        <r>
          <rPr>
            <b/>
            <sz val="10"/>
            <color indexed="81"/>
            <rFont val="Arial"/>
            <family val="2"/>
          </rPr>
          <t>Ry / 2.4</t>
        </r>
        <r>
          <rPr>
            <b/>
            <sz val="8"/>
            <color indexed="81"/>
            <rFont val="Tahoma"/>
            <family val="2"/>
          </rPr>
          <t xml:space="preserve">
</t>
        </r>
      </text>
    </comment>
    <comment ref="I33" authorId="0" shapeId="0" xr:uid="{ADBA6940-8ABF-4F58-BB18-F4A06E52A59A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K33" authorId="0" shapeId="0" xr:uid="{C2BD43ED-CB41-4863-8F23-DFA697D8B92C}">
      <text>
        <r>
          <rPr>
            <sz val="10"/>
            <color indexed="81"/>
            <rFont val="Arial"/>
            <family val="2"/>
          </rPr>
          <t>This gets stored in WR1 roll height on "RESET"</t>
        </r>
      </text>
    </comment>
    <comment ref="I34" authorId="0" shapeId="0" xr:uid="{74ECA475-B05A-401B-B647-8D07BE2A2304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I35" authorId="0" shapeId="0" xr:uid="{A39DB849-5053-4E9B-9062-79639636E07C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I42" authorId="0" shapeId="0" xr:uid="{EF975507-D372-4E5A-BA0A-09DA88280524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Reid Coe</author>
  </authors>
  <commentList>
    <comment ref="A8" authorId="0" shapeId="0" xr:uid="{A97023F6-D986-44D9-A7F5-48A1C4761ABD}">
      <text>
        <r>
          <rPr>
            <b/>
            <sz val="9"/>
            <color indexed="81"/>
            <rFont val="Tahoma"/>
            <family val="2"/>
          </rPr>
          <t>Reid Coe:</t>
        </r>
        <r>
          <rPr>
            <sz val="9"/>
            <color indexed="81"/>
            <rFont val="Tahoma"/>
            <family val="2"/>
          </rPr>
          <t xml:space="preserve">
If "Conventional" then feed
If "Conventional CTL then Cut To Length"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pc38</author>
  </authors>
  <commentList>
    <comment ref="B13" authorId="0" shapeId="0" xr:uid="{611CD62E-5EC6-4A4D-B3AC-C84E6F1337B7}">
      <text>
        <r>
          <rPr>
            <sz val="8"/>
            <color indexed="81"/>
            <rFont val="Tahoma"/>
            <family val="2"/>
          </rPr>
          <t xml:space="preserve">If &gt; 20, assumed to be Degrees of rotation of press when axis can move. If &lt;=20, assumed to be Idle period during cycle that the axis can't be moving.
</t>
        </r>
      </text>
    </comment>
    <comment ref="D18" authorId="0" shapeId="0" xr:uid="{E2ACAE71-D723-42B0-9018-358BC9F47CF1}">
      <text>
        <r>
          <rPr>
            <sz val="10"/>
            <color indexed="81"/>
            <rFont val="Tahoma"/>
            <family val="2"/>
          </rPr>
          <t>Set to 0 for Ballscrew
Set to 1 for TranTek Polymer nut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55" authorId="0" shapeId="0" xr:uid="{5E5C39D4-3025-41E9-BBEF-F8C0B9973A51}">
      <text>
        <r>
          <rPr>
            <sz val="8"/>
            <color indexed="81"/>
            <rFont val="Tahoma"/>
            <family val="2"/>
          </rPr>
          <t>Set to 0 to toggle "Degrees" Off or enter Pivot to Screw distance.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<sst xmlns="http://schemas.openxmlformats.org/spreadsheetml/2006/main" count="10472" uniqueCount="1715">
  <si>
    <t>COE PRESS EQUIPMENT CORPORATION</t>
  </si>
  <si>
    <t>Customer</t>
  </si>
  <si>
    <t>Date</t>
  </si>
  <si>
    <t>Reference</t>
  </si>
  <si>
    <t>.in</t>
  </si>
  <si>
    <t>Hyd. Threading Drive</t>
  </si>
  <si>
    <t>Material Thickness</t>
  </si>
  <si>
    <t>Material Width</t>
  </si>
  <si>
    <t>Coil O.D.</t>
  </si>
  <si>
    <t>Coil I.D.</t>
  </si>
  <si>
    <t>cu/in</t>
  </si>
  <si>
    <t>psi</t>
  </si>
  <si>
    <t>End Whl OD</t>
  </si>
  <si>
    <t>Sprkt. Red end wheel</t>
  </si>
  <si>
    <t>-</t>
  </si>
  <si>
    <t>Hyd Thd Drive Disp</t>
  </si>
  <si>
    <t>PD end wheel</t>
  </si>
  <si>
    <t>PD reel</t>
  </si>
  <si>
    <t>Coil Weight</t>
  </si>
  <si>
    <t>Sprk red. Reel</t>
  </si>
  <si>
    <t>Sprk red. Hold up wheel</t>
  </si>
  <si>
    <t>Mod. Of Elasticity</t>
  </si>
  <si>
    <t>M,Bending moment @ OD</t>
  </si>
  <si>
    <t>My, Bending moment @ Yield</t>
  </si>
  <si>
    <t>Press. Req'd</t>
  </si>
  <si>
    <t>Braking Dist.</t>
  </si>
  <si>
    <t># Brake Pads</t>
  </si>
  <si>
    <t>Cyl. Rod Dia.</t>
  </si>
  <si>
    <r>
      <t>ft/sec</t>
    </r>
    <r>
      <rPr>
        <i/>
        <vertAlign val="superscript"/>
        <sz val="11"/>
        <color indexed="8"/>
        <rFont val="Calibri"/>
        <family val="2"/>
      </rPr>
      <t>2</t>
    </r>
  </si>
  <si>
    <t>lbs</t>
  </si>
  <si>
    <t>y</t>
  </si>
  <si>
    <t>Torque req'd mandrel</t>
  </si>
  <si>
    <t>Single Stage</t>
  </si>
  <si>
    <t>Double Stage</t>
  </si>
  <si>
    <t>Triple Stage</t>
  </si>
  <si>
    <t>Failsafe - Double Stage</t>
  </si>
  <si>
    <t>Disp. (Reel) Mtr.</t>
  </si>
  <si>
    <t>Brake Model</t>
  </si>
  <si>
    <t>Brake Quantity</t>
  </si>
  <si>
    <t>Web Tension</t>
  </si>
  <si>
    <t>lbs.</t>
  </si>
  <si>
    <t>in. lbs.</t>
  </si>
  <si>
    <t>CPR-100</t>
  </si>
  <si>
    <t>CPR-200</t>
  </si>
  <si>
    <t>CPR-300</t>
  </si>
  <si>
    <t>CPR-400</t>
  </si>
  <si>
    <t>CPR-500</t>
  </si>
  <si>
    <t>CPR-600</t>
  </si>
  <si>
    <t>CPR-150</t>
  </si>
  <si>
    <t>Reel Model</t>
  </si>
  <si>
    <t>Air Clutch</t>
  </si>
  <si>
    <t>YES</t>
  </si>
  <si>
    <t>NO</t>
  </si>
  <si>
    <t>Torque Required</t>
  </si>
  <si>
    <t xml:space="preserve">Drag Brake </t>
  </si>
  <si>
    <t>Air Pressure Available</t>
  </si>
  <si>
    <t>Required Decel. Rate</t>
  </si>
  <si>
    <t>Material Yield Strength</t>
  </si>
  <si>
    <t>Cylinder Bore</t>
  </si>
  <si>
    <t>Brake Pad Diameter</t>
  </si>
  <si>
    <t>Coefficient of Friction</t>
  </si>
  <si>
    <t>Failsafe Holding Force</t>
  </si>
  <si>
    <t>Coefficient of friction</t>
  </si>
  <si>
    <t>Material</t>
  </si>
  <si>
    <t>STEEL</t>
  </si>
  <si>
    <t>Blue Fields Are Manual Entries</t>
  </si>
  <si>
    <t>Hold Down Force Required</t>
  </si>
  <si>
    <t>Hold Down Assy</t>
  </si>
  <si>
    <t>Hold Down Force Available</t>
  </si>
  <si>
    <t>Holddown Pressure</t>
  </si>
  <si>
    <t>T4361_LD</t>
  </si>
  <si>
    <t>T4362_MD</t>
  </si>
  <si>
    <t>T4365_HD</t>
  </si>
  <si>
    <t>T4366_XD</t>
  </si>
  <si>
    <t>Hold down</t>
  </si>
  <si>
    <t>Hyd_750</t>
  </si>
  <si>
    <t>THREADING DRIVE, DRAG BRAKE &amp; HOLDDOWN</t>
  </si>
  <si>
    <t>psi air req.</t>
  </si>
  <si>
    <t>Rewind Torque Req.</t>
  </si>
  <si>
    <t xml:space="preserve"> </t>
  </si>
  <si>
    <t>REGEN</t>
  </si>
  <si>
    <t>HP REQ'D</t>
  </si>
  <si>
    <t>TORQUE</t>
  </si>
  <si>
    <t>FULL</t>
  </si>
  <si>
    <t>EMPTY</t>
  </si>
  <si>
    <t>ACCEL TIME</t>
  </si>
  <si>
    <t>ACCEL RATE</t>
  </si>
  <si>
    <t>SPEED</t>
  </si>
  <si>
    <t>REFL. FULL</t>
  </si>
  <si>
    <t>REFL. EMPTY</t>
  </si>
  <si>
    <t>TOTAL FULL</t>
  </si>
  <si>
    <t>TOTAL EMPTY</t>
  </si>
  <si>
    <t>F. BRG. COIL</t>
  </si>
  <si>
    <t>R. BRG. COIL</t>
  </si>
  <si>
    <t>F. BRG. MAND.</t>
  </si>
  <si>
    <t>R. BRG. MAND.</t>
  </si>
  <si>
    <t>FRICTION</t>
  </si>
  <si>
    <t>RPM FULL</t>
  </si>
  <si>
    <t>BASE RPM</t>
  </si>
  <si>
    <t>INERTIA</t>
  </si>
  <si>
    <t>HP</t>
  </si>
  <si>
    <t>MOTOR</t>
  </si>
  <si>
    <t>TOTAL REFL.</t>
  </si>
  <si>
    <t>RATIO</t>
  </si>
  <si>
    <t>TOTAL</t>
  </si>
  <si>
    <t>REFL. INERT.</t>
  </si>
  <si>
    <t>WEIGHT</t>
  </si>
  <si>
    <t>SPRKT. THK.</t>
  </si>
  <si>
    <t>SPRKT. O.D.</t>
  </si>
  <si>
    <t>CHAIN</t>
  </si>
  <si>
    <t>BACKDRIVING</t>
  </si>
  <si>
    <t>DRIVING</t>
  </si>
  <si>
    <t>EFFICIENCY</t>
  </si>
  <si>
    <t>REDUCER</t>
  </si>
  <si>
    <t>WIDTH</t>
  </si>
  <si>
    <t>I.D.</t>
  </si>
  <si>
    <t>O.D.</t>
  </si>
  <si>
    <t>DENSITY</t>
  </si>
  <si>
    <t>COIL</t>
  </si>
  <si>
    <t>THICKNESS</t>
  </si>
  <si>
    <t>DIAMETER</t>
  </si>
  <si>
    <t>BACKPLATE</t>
  </si>
  <si>
    <t>MAX RPM</t>
  </si>
  <si>
    <t>LENGTH</t>
  </si>
  <si>
    <t>MANDREL</t>
  </si>
  <si>
    <t>R. BRG. DIA.</t>
  </si>
  <si>
    <t>F. BRG. DIA</t>
  </si>
  <si>
    <t>BRG. DIST.</t>
  </si>
  <si>
    <t>MAX WIDTH</t>
  </si>
  <si>
    <t>SIZE</t>
  </si>
  <si>
    <t>REEL</t>
  </si>
  <si>
    <t xml:space="preserve">Reference </t>
  </si>
  <si>
    <t>Drive Horsepower</t>
  </si>
  <si>
    <t>Backplate Diameter</t>
  </si>
  <si>
    <t>Motorized Reel</t>
  </si>
  <si>
    <t>Speed (ft/min.)</t>
  </si>
  <si>
    <t>Accel Rate (ft/sec^2)</t>
  </si>
  <si>
    <t>Regen Req'd</t>
  </si>
  <si>
    <t>Creep Factor</t>
  </si>
  <si>
    <t>SPGPS-810</t>
  </si>
  <si>
    <t>SPGPS-508</t>
  </si>
  <si>
    <t>SPGPS-306</t>
  </si>
  <si>
    <t>CPPS-507</t>
  </si>
  <si>
    <t>CPPS-506</t>
  </si>
  <si>
    <t>Stess</t>
  </si>
  <si>
    <t>CPPS-406</t>
  </si>
  <si>
    <t>CPPS-406 OLD</t>
  </si>
  <si>
    <t>CPPS-306</t>
  </si>
  <si>
    <t>CPPS-350</t>
  </si>
  <si>
    <t>CPPS-250</t>
  </si>
  <si>
    <t>CPPS-175</t>
  </si>
  <si>
    <t>Diff edge to center</t>
  </si>
  <si>
    <t>DEF</t>
  </si>
  <si>
    <t>Bottom</t>
  </si>
  <si>
    <t>Top</t>
  </si>
  <si>
    <t>Min Roll Depth</t>
  </si>
  <si>
    <t>Jack Force Avail</t>
  </si>
  <si>
    <t>Pinch Roll Dia.</t>
  </si>
  <si>
    <t>Center Distance</t>
  </si>
  <si>
    <t>Roll Diameter</t>
  </si>
  <si>
    <t>Model</t>
  </si>
  <si>
    <t>Defl- Upper Center</t>
  </si>
  <si>
    <t>Defl- upper edge</t>
  </si>
  <si>
    <t>Mb</t>
  </si>
  <si>
    <t>Defl -lower edge</t>
  </si>
  <si>
    <t>RPM @ ROLLER</t>
  </si>
  <si>
    <t>BOTTOM</t>
  </si>
  <si>
    <t>Defl-lower center</t>
  </si>
  <si>
    <t>Mom. React.@support</t>
  </si>
  <si>
    <t>TOP</t>
  </si>
  <si>
    <t>Deflection</t>
  </si>
  <si>
    <t>Load @ support</t>
  </si>
  <si>
    <t>Horse Power Rated</t>
  </si>
  <si>
    <t>TITANIUM</t>
  </si>
  <si>
    <t>l-a</t>
  </si>
  <si>
    <t>Pitch Line Vel.</t>
  </si>
  <si>
    <t>Sec Mod</t>
  </si>
  <si>
    <t>Radius</t>
  </si>
  <si>
    <t>Force @ Pitchline</t>
  </si>
  <si>
    <t>Inertia</t>
  </si>
  <si>
    <t>Dist. Support to Load</t>
  </si>
  <si>
    <t>Gear Torque</t>
  </si>
  <si>
    <t>BRASS</t>
  </si>
  <si>
    <t>Weight Applied</t>
  </si>
  <si>
    <t>L</t>
  </si>
  <si>
    <t>Pitch Dia.</t>
  </si>
  <si>
    <t>BERYL COPPER</t>
  </si>
  <si>
    <t>Load on Wall</t>
  </si>
  <si>
    <t>Z</t>
  </si>
  <si>
    <t>Str</t>
  </si>
  <si>
    <t>Pinch</t>
  </si>
  <si>
    <t>ALUMINUM</t>
  </si>
  <si>
    <r>
      <t xml:space="preserve">Stress </t>
    </r>
    <r>
      <rPr>
        <i/>
        <sz val="11"/>
        <color theme="1"/>
        <rFont val="Calibri"/>
        <family val="2"/>
        <scheme val="minor"/>
      </rPr>
      <t>(psi)</t>
    </r>
  </si>
  <si>
    <t>Mom Of Inertia</t>
  </si>
  <si>
    <t>Modulus</t>
  </si>
  <si>
    <t>Yield</t>
  </si>
  <si>
    <r>
      <t xml:space="preserve">Deflection </t>
    </r>
    <r>
      <rPr>
        <i/>
        <sz val="11"/>
        <color theme="1"/>
        <rFont val="Calibri"/>
        <family val="2"/>
        <scheme val="minor"/>
      </rPr>
      <t>(in)</t>
    </r>
  </si>
  <si>
    <t>Sec. Mod, Z</t>
  </si>
  <si>
    <t>Total Force</t>
  </si>
  <si>
    <t>Lewis Factor, Y</t>
  </si>
  <si>
    <t>No Backups</t>
  </si>
  <si>
    <t>Roll Weight</t>
  </si>
  <si>
    <t>Normal Force</t>
  </si>
  <si>
    <t>RPM @ Gear</t>
  </si>
  <si>
    <t>Defl Due to Roll Body</t>
  </si>
  <si>
    <t>Contact Angle</t>
  </si>
  <si>
    <t>Safe Working Stress</t>
  </si>
  <si>
    <t>Ultimate tensile strength</t>
  </si>
  <si>
    <t>Deflection &amp; Journal Stress</t>
  </si>
  <si>
    <t>Gear Tooth Failure / Gear Torque</t>
  </si>
  <si>
    <t>MTR Inert.</t>
  </si>
  <si>
    <t>Min OD</t>
  </si>
  <si>
    <t>Max OD</t>
  </si>
  <si>
    <t>PK TQ.</t>
  </si>
  <si>
    <t>eff</t>
  </si>
  <si>
    <t>ACC TQ.</t>
  </si>
  <si>
    <t>STR TQ.</t>
  </si>
  <si>
    <t xml:space="preserve">ACCTM. </t>
  </si>
  <si>
    <t>MTR rpm</t>
  </si>
  <si>
    <r>
      <t xml:space="preserve">Cont. Angle </t>
    </r>
    <r>
      <rPr>
        <i/>
        <sz val="11"/>
        <color theme="1"/>
        <rFont val="Calibri"/>
        <family val="2"/>
        <scheme val="minor"/>
      </rPr>
      <t>(degree)</t>
    </r>
  </si>
  <si>
    <r>
      <t xml:space="preserve">Face Width </t>
    </r>
    <r>
      <rPr>
        <i/>
        <sz val="11"/>
        <color theme="1"/>
        <rFont val="Calibri"/>
        <family val="2"/>
        <scheme val="minor"/>
      </rPr>
      <t>(in)</t>
    </r>
  </si>
  <si>
    <t>Str. Roll Gear</t>
  </si>
  <si>
    <t>Brake Torque</t>
  </si>
  <si>
    <t>Ref. Inert</t>
  </si>
  <si>
    <t>Ratio</t>
  </si>
  <si>
    <t>Inert.</t>
  </si>
  <si>
    <t>Lbs</t>
  </si>
  <si>
    <t>Brk TrQ.</t>
  </si>
  <si>
    <t>Coil</t>
  </si>
  <si>
    <t>Pinch Roll Gear</t>
  </si>
  <si>
    <t>DP</t>
  </si>
  <si>
    <t># teeth</t>
  </si>
  <si>
    <t>Gears Data</t>
  </si>
  <si>
    <t>Coil OD</t>
  </si>
  <si>
    <t>Weight</t>
  </si>
  <si>
    <t>Mat. Length</t>
  </si>
  <si>
    <r>
      <t xml:space="preserve">Modulus </t>
    </r>
    <r>
      <rPr>
        <i/>
        <sz val="11"/>
        <color theme="1"/>
        <rFont val="Calibri"/>
        <family val="2"/>
        <scheme val="minor"/>
      </rPr>
      <t>(psi)</t>
    </r>
  </si>
  <si>
    <t>Meas. @ 72in OD</t>
  </si>
  <si>
    <t>Measured</t>
  </si>
  <si>
    <r>
      <t xml:space="preserve">Brake Torque </t>
    </r>
    <r>
      <rPr>
        <i/>
        <sz val="11"/>
        <color theme="1"/>
        <rFont val="Calibri"/>
        <family val="2"/>
        <scheme val="minor"/>
      </rPr>
      <t>(in lbs)</t>
    </r>
  </si>
  <si>
    <r>
      <t xml:space="preserve">Max. Roll Depth </t>
    </r>
    <r>
      <rPr>
        <i/>
        <sz val="11"/>
        <color theme="1"/>
        <rFont val="Calibri"/>
        <family val="2"/>
        <scheme val="minor"/>
      </rPr>
      <t>(in)</t>
    </r>
  </si>
  <si>
    <t>Coil Weight Calc</t>
  </si>
  <si>
    <r>
      <t xml:space="preserve">Accel. Torque </t>
    </r>
    <r>
      <rPr>
        <i/>
        <sz val="11"/>
        <color theme="1"/>
        <rFont val="Calibri"/>
        <family val="2"/>
        <scheme val="minor"/>
      </rPr>
      <t>(in lbs)</t>
    </r>
  </si>
  <si>
    <r>
      <t xml:space="preserve">Jack Force Avail. </t>
    </r>
    <r>
      <rPr>
        <i/>
        <sz val="11"/>
        <color theme="1"/>
        <rFont val="Calibri"/>
        <family val="2"/>
        <scheme val="minor"/>
      </rPr>
      <t>(lbs)</t>
    </r>
  </si>
  <si>
    <t>MAX OD</t>
  </si>
  <si>
    <t>HP REQ</t>
  </si>
  <si>
    <t>STR FORCE</t>
  </si>
  <si>
    <t>K Cons</t>
  </si>
  <si>
    <r>
      <t xml:space="preserve">Str. Torque </t>
    </r>
    <r>
      <rPr>
        <i/>
        <sz val="11"/>
        <color theme="1"/>
        <rFont val="Calibri"/>
        <family val="2"/>
        <scheme val="minor"/>
      </rPr>
      <t>(in lbs)</t>
    </r>
  </si>
  <si>
    <r>
      <t xml:space="preserve">Center Dist. </t>
    </r>
    <r>
      <rPr>
        <i/>
        <sz val="11"/>
        <color theme="1"/>
        <rFont val="Calibri"/>
        <family val="2"/>
        <scheme val="minor"/>
      </rPr>
      <t>(in)</t>
    </r>
  </si>
  <si>
    <r>
      <t xml:space="preserve">Pinch Roll Dia. </t>
    </r>
    <r>
      <rPr>
        <i/>
        <sz val="11"/>
        <color theme="1"/>
        <rFont val="Calibri"/>
        <family val="2"/>
        <scheme val="minor"/>
      </rPr>
      <t>(in)</t>
    </r>
  </si>
  <si>
    <r>
      <t xml:space="preserve">Coil OD. </t>
    </r>
    <r>
      <rPr>
        <i/>
        <sz val="11"/>
        <color theme="1"/>
        <rFont val="Calibri"/>
        <family val="2"/>
        <scheme val="minor"/>
      </rPr>
      <t>(in)</t>
    </r>
  </si>
  <si>
    <r>
      <t xml:space="preserve">Str. Roll Dia. </t>
    </r>
    <r>
      <rPr>
        <i/>
        <sz val="11"/>
        <color theme="1"/>
        <rFont val="Calibri"/>
        <family val="2"/>
        <scheme val="minor"/>
      </rPr>
      <t>(in)</t>
    </r>
  </si>
  <si>
    <t xml:space="preserve">Pinch </t>
  </si>
  <si>
    <r>
      <t xml:space="preserve">Actual Coil Wt. </t>
    </r>
    <r>
      <rPr>
        <i/>
        <sz val="11"/>
        <color theme="1"/>
        <rFont val="Calibri"/>
        <family val="2"/>
        <scheme val="minor"/>
      </rPr>
      <t>(lbs)</t>
    </r>
  </si>
  <si>
    <t>Qty</t>
  </si>
  <si>
    <t>Length</t>
  </si>
  <si>
    <t>Auto. Brake Compen.</t>
  </si>
  <si>
    <t># of Yield Strains</t>
  </si>
  <si>
    <t>Horse Power Required (HP)</t>
  </si>
  <si>
    <r>
      <t xml:space="preserve">Horse Power </t>
    </r>
    <r>
      <rPr>
        <i/>
        <sz val="11"/>
        <color theme="1"/>
        <rFont val="Calibri"/>
        <family val="2"/>
        <scheme val="minor"/>
      </rPr>
      <t>(HP)</t>
    </r>
  </si>
  <si>
    <t>Rad. After Springback</t>
  </si>
  <si>
    <r>
      <t xml:space="preserve">Acceleration </t>
    </r>
    <r>
      <rPr>
        <i/>
        <sz val="11"/>
        <color theme="1"/>
        <rFont val="Calibri"/>
        <family val="2"/>
        <scheme val="minor"/>
      </rPr>
      <t>(ft/sec</t>
    </r>
    <r>
      <rPr>
        <i/>
        <vertAlign val="superscript"/>
        <sz val="11"/>
        <color theme="1"/>
        <rFont val="Calibri"/>
        <family val="2"/>
        <scheme val="minor"/>
      </rPr>
      <t>2</t>
    </r>
    <r>
      <rPr>
        <i/>
        <sz val="11"/>
        <color theme="1"/>
        <rFont val="Calibri"/>
        <family val="2"/>
        <scheme val="minor"/>
      </rPr>
      <t>)</t>
    </r>
  </si>
  <si>
    <t>set=</t>
  </si>
  <si>
    <t>Springback</t>
  </si>
  <si>
    <r>
      <t xml:space="preserve">Feed Rate </t>
    </r>
    <r>
      <rPr>
        <i/>
        <sz val="11"/>
        <color theme="1"/>
        <rFont val="Calibri"/>
        <family val="2"/>
        <scheme val="minor"/>
      </rPr>
      <t>(ft/min)</t>
    </r>
  </si>
  <si>
    <t>x or engage^2</t>
  </si>
  <si>
    <t>Mb/My</t>
  </si>
  <si>
    <t>Str. Roll</t>
  </si>
  <si>
    <t>c or rad</t>
  </si>
  <si>
    <t>Pinch Roll</t>
  </si>
  <si>
    <t>b or c/4</t>
  </si>
  <si>
    <t>1/R-1/Ri</t>
  </si>
  <si>
    <t>Rated Torq.</t>
  </si>
  <si>
    <t xml:space="preserve"> Required Gear Torq.</t>
  </si>
  <si>
    <r>
      <t xml:space="preserve">Yield Strength </t>
    </r>
    <r>
      <rPr>
        <i/>
        <sz val="11"/>
        <color theme="1"/>
        <rFont val="Calibri"/>
        <family val="2"/>
        <scheme val="minor"/>
      </rPr>
      <t>(psi)</t>
    </r>
  </si>
  <si>
    <t>a</t>
  </si>
  <si>
    <t>UP</t>
  </si>
  <si>
    <t>DOWN</t>
  </si>
  <si>
    <t>Dir. Of Bend</t>
  </si>
  <si>
    <r>
      <t xml:space="preserve">Thickness </t>
    </r>
    <r>
      <rPr>
        <i/>
        <sz val="11"/>
        <color theme="1"/>
        <rFont val="Calibri"/>
        <family val="2"/>
        <scheme val="minor"/>
      </rPr>
      <t>(in)</t>
    </r>
  </si>
  <si>
    <t>Resulting Rad.</t>
  </si>
  <si>
    <r>
      <t xml:space="preserve">Coil Width </t>
    </r>
    <r>
      <rPr>
        <i/>
        <sz val="11"/>
        <color theme="1"/>
        <rFont val="Calibri"/>
        <family val="2"/>
        <scheme val="minor"/>
      </rPr>
      <t>(in)</t>
    </r>
  </si>
  <si>
    <t>% of Mat. Thk. Yielded</t>
  </si>
  <si>
    <t>Required</t>
  </si>
  <si>
    <r>
      <t xml:space="preserve">Coil ID. </t>
    </r>
    <r>
      <rPr>
        <i/>
        <sz val="11"/>
        <color theme="1"/>
        <rFont val="Calibri"/>
        <family val="2"/>
        <scheme val="minor"/>
      </rPr>
      <t>(in)</t>
    </r>
  </si>
  <si>
    <t>Force Req.</t>
  </si>
  <si>
    <r>
      <t xml:space="preserve">Rated Force </t>
    </r>
    <r>
      <rPr>
        <i/>
        <sz val="11"/>
        <color theme="1"/>
        <rFont val="Calibri"/>
        <family val="2"/>
        <scheme val="minor"/>
      </rPr>
      <t>(Lbs.)</t>
    </r>
  </si>
  <si>
    <r>
      <t xml:space="preserve">Force </t>
    </r>
    <r>
      <rPr>
        <i/>
        <sz val="11"/>
        <color theme="1"/>
        <rFont val="Calibri"/>
        <family val="2"/>
        <scheme val="minor"/>
      </rPr>
      <t>(lbs)</t>
    </r>
    <r>
      <rPr>
        <sz val="11"/>
        <color theme="1"/>
        <rFont val="Calibri"/>
        <family val="2"/>
        <scheme val="minor"/>
      </rPr>
      <t>@ 60% Yield</t>
    </r>
  </si>
  <si>
    <r>
      <t xml:space="preserve">Coil Wt. Capacity </t>
    </r>
    <r>
      <rPr>
        <i/>
        <sz val="11"/>
        <color theme="1"/>
        <rFont val="Calibri"/>
        <family val="2"/>
        <scheme val="minor"/>
      </rPr>
      <t>(lbs)</t>
    </r>
  </si>
  <si>
    <t>Roll Depth</t>
  </si>
  <si>
    <t>Roll#</t>
  </si>
  <si>
    <t>CalcRollSet</t>
  </si>
  <si>
    <t>CalcArcMid</t>
  </si>
  <si>
    <t>Calc Rad</t>
  </si>
  <si>
    <t>Last Roller</t>
  </si>
  <si>
    <t>Mid. Roller</t>
  </si>
  <si>
    <t>First Roller</t>
  </si>
  <si>
    <t>No. of Str. Rolls</t>
  </si>
  <si>
    <r>
      <t>Str. Width (</t>
    </r>
    <r>
      <rPr>
        <i/>
        <sz val="11"/>
        <color theme="1"/>
        <rFont val="Calibri"/>
        <family val="2"/>
        <scheme val="minor"/>
      </rPr>
      <t>in</t>
    </r>
    <r>
      <rPr>
        <sz val="11"/>
        <color theme="1"/>
        <rFont val="Calibri"/>
        <family val="2"/>
        <scheme val="minor"/>
      </rPr>
      <t>)</t>
    </r>
  </si>
  <si>
    <t>Str. Model</t>
  </si>
  <si>
    <t>1/Ry</t>
  </si>
  <si>
    <t>Payoff</t>
  </si>
  <si>
    <t>Calculated</t>
  </si>
  <si>
    <t>1/Ri</t>
  </si>
  <si>
    <t>My</t>
  </si>
  <si>
    <t>Ri</t>
  </si>
  <si>
    <t>Straightener Selection Utility</t>
  </si>
  <si>
    <t>Ry</t>
  </si>
  <si>
    <t>Ro</t>
  </si>
  <si>
    <t>SPGPS810</t>
  </si>
  <si>
    <t>SPGPS508</t>
  </si>
  <si>
    <t>SPGPS306</t>
  </si>
  <si>
    <t>CPPS507</t>
  </si>
  <si>
    <t>CPPS406</t>
  </si>
  <si>
    <t>CPPS350</t>
  </si>
  <si>
    <t>CPPS306</t>
  </si>
  <si>
    <t>CPPS250</t>
  </si>
  <si>
    <t>CPPS175</t>
  </si>
  <si>
    <t>straighteners</t>
  </si>
  <si>
    <t>material and</t>
  </si>
  <si>
    <t>range of</t>
  </si>
  <si>
    <t>best approximates</t>
  </si>
  <si>
    <t>this column</t>
  </si>
  <si>
    <t>x or engage *2</t>
  </si>
  <si>
    <t>c or radius</t>
  </si>
  <si>
    <t>CalcRad</t>
  </si>
  <si>
    <t>CREEP FACTOR:</t>
  </si>
  <si>
    <t>RADIUS AFTER SPRINGBACK:</t>
  </si>
  <si>
    <t># OF YIELD STRAINS AT SURFACE</t>
  </si>
  <si>
    <t>% OF MAT'L THK. YIELDED:</t>
  </si>
  <si>
    <t>ROLLER FORCE REQ'D: (USING OLD CALCULATION)</t>
  </si>
  <si>
    <t>SPRINGBACK:</t>
  </si>
  <si>
    <t>ROLLER DEPTH REQ'D:</t>
  </si>
  <si>
    <t>FORCE REQUIRED:</t>
  </si>
  <si>
    <t>Mb/My:</t>
  </si>
  <si>
    <t>in</t>
  </si>
  <si>
    <t>MAX. ROLLER DEPTH W/ MAT'L:</t>
  </si>
  <si>
    <t>Mb:</t>
  </si>
  <si>
    <t>MAX. ROLLER DEPTH W/OUT MAT'L:</t>
  </si>
  <si>
    <t>1/R-1/Ri:</t>
  </si>
  <si>
    <t>lb</t>
  </si>
  <si>
    <t>JACK FORCE AVAIL.</t>
  </si>
  <si>
    <t>DIRECTION OF BEND:</t>
  </si>
  <si>
    <t>MODULUS:</t>
  </si>
  <si>
    <t>RESULTING RADIUS:</t>
  </si>
  <si>
    <t>CENT. DIST:</t>
  </si>
  <si>
    <t>ROLL HEIGHT</t>
  </si>
  <si>
    <t>ROLL DIA:</t>
  </si>
  <si>
    <t>LAST ROLLER</t>
  </si>
  <si>
    <t>MID. ROLLER</t>
  </si>
  <si>
    <t>FIRST ROLLER</t>
  </si>
  <si>
    <t>Straightener Model</t>
  </si>
  <si>
    <t>MATERIAL:</t>
  </si>
  <si>
    <t>BENDING MOMENT TO YIELD SKIN</t>
  </si>
  <si>
    <t>My:</t>
  </si>
  <si>
    <t>YIELD:</t>
  </si>
  <si>
    <t>RADIUS REQUIRED TO YIELD SKIN OF FLAT MATERIAL</t>
  </si>
  <si>
    <t>Ry:</t>
  </si>
  <si>
    <t>MAT'L THK:</t>
  </si>
  <si>
    <t>1/Ry:</t>
  </si>
  <si>
    <t>COIL WIDTH:</t>
  </si>
  <si>
    <t>1/Ri:</t>
  </si>
  <si>
    <t>RADIUS OFF COIL AFTER SPRINGBACK</t>
  </si>
  <si>
    <t>Ri:</t>
  </si>
  <si>
    <t>RADIUS COMING OFF COIL</t>
  </si>
  <si>
    <t>Ro:</t>
  </si>
  <si>
    <t>Straightener Backbend - 7 Roll</t>
  </si>
  <si>
    <t>Straightener Backbend - 9 Roll</t>
  </si>
  <si>
    <t>STRT. SIZE:</t>
  </si>
  <si>
    <t>ENGAGEMENT:</t>
  </si>
  <si>
    <t>ROLLER FORCE REQ'D:</t>
  </si>
  <si>
    <t>Straightener Backbend - 11 Roll</t>
  </si>
  <si>
    <t>User Defined Variables</t>
  </si>
  <si>
    <t>Material Type:</t>
  </si>
  <si>
    <t>MCRS</t>
  </si>
  <si>
    <t>Material Specifications</t>
  </si>
  <si>
    <t>40,000 psi yield</t>
  </si>
  <si>
    <t>Max. Material Thickness (in)</t>
  </si>
  <si>
    <t>Coil Width (in)</t>
  </si>
  <si>
    <t>Material Tensile (psi)</t>
  </si>
  <si>
    <t xml:space="preserve"> Shear Strength (psi) (70-80% of tensile)</t>
  </si>
  <si>
    <t>Blade Specifications</t>
  </si>
  <si>
    <t>Calculated Variables</t>
  </si>
  <si>
    <t>Rake of blade per foot</t>
  </si>
  <si>
    <t>Angle of blade</t>
  </si>
  <si>
    <t>Distance blade travels past cut (overlap)</t>
  </si>
  <si>
    <t>Length of initial cut</t>
  </si>
  <si>
    <t>Desired blade opening</t>
  </si>
  <si>
    <t>Area of cut</t>
  </si>
  <si>
    <t>% of penetration (equal to elongation) (38% std)</t>
  </si>
  <si>
    <t>Cylinder Specifications</t>
  </si>
  <si>
    <t>Bore Size</t>
  </si>
  <si>
    <t>Minumum stroke for blade</t>
  </si>
  <si>
    <t>Rod Dia.</t>
  </si>
  <si>
    <t>Min.stroke required for desired opening</t>
  </si>
  <si>
    <t>Stroke</t>
  </si>
  <si>
    <t xml:space="preserve">Actual opening above max. mat'l </t>
  </si>
  <si>
    <r>
      <t>Hydraulic Pressure</t>
    </r>
    <r>
      <rPr>
        <u/>
        <sz val="12"/>
        <rFont val="Arial"/>
        <family val="2"/>
      </rPr>
      <t xml:space="preserve"> (psi)</t>
    </r>
  </si>
  <si>
    <t>Pressure</t>
  </si>
  <si>
    <t>Cylinder Area</t>
  </si>
  <si>
    <t>Cylinder Volume</t>
  </si>
  <si>
    <t>Fluid Velocity (ft/sec)</t>
  </si>
  <si>
    <t>Time</t>
  </si>
  <si>
    <t>Time in seconds for (1) downward stroke</t>
  </si>
  <si>
    <t>Dwell time for feed</t>
  </si>
  <si>
    <t>Conclusions</t>
  </si>
  <si>
    <r>
      <t xml:space="preserve">Force per cyl. </t>
    </r>
    <r>
      <rPr>
        <sz val="12"/>
        <rFont val="Arial"/>
        <family val="2"/>
      </rPr>
      <t>(double rod, plumbed in series)</t>
    </r>
  </si>
  <si>
    <r>
      <t>Total Force Applied</t>
    </r>
    <r>
      <rPr>
        <sz val="12"/>
        <rFont val="Arial"/>
        <family val="2"/>
      </rPr>
      <t xml:space="preserve"> (lbs)</t>
    </r>
  </si>
  <si>
    <r>
      <t xml:space="preserve">Force req'd to shear </t>
    </r>
    <r>
      <rPr>
        <sz val="12"/>
        <rFont val="Arial"/>
        <family val="2"/>
      </rPr>
      <t>(lbs)</t>
    </r>
  </si>
  <si>
    <r>
      <t xml:space="preserve">Total Force Applied </t>
    </r>
    <r>
      <rPr>
        <sz val="12"/>
        <rFont val="Arial"/>
        <family val="2"/>
      </rPr>
      <t>(tons)</t>
    </r>
  </si>
  <si>
    <r>
      <t xml:space="preserve">Safety Factor </t>
    </r>
    <r>
      <rPr>
        <sz val="11"/>
        <color theme="1"/>
        <rFont val="Calibri"/>
        <family val="2"/>
        <scheme val="minor"/>
      </rPr>
      <t>(Must be &gt; 1.00)</t>
    </r>
  </si>
  <si>
    <t>Instantaneous Gallons per minute req'd</t>
  </si>
  <si>
    <t>Averaged Gallons per minute req'd</t>
  </si>
  <si>
    <t>Shear strokes per minute</t>
  </si>
  <si>
    <t>Parts per minute</t>
  </si>
  <si>
    <t>Parts per hour</t>
  </si>
  <si>
    <r>
      <t xml:space="preserve">Time in seconds for </t>
    </r>
    <r>
      <rPr>
        <sz val="12"/>
        <color indexed="10"/>
        <rFont val="Arial"/>
        <family val="2"/>
      </rPr>
      <t>(1) downward stroke</t>
    </r>
  </si>
  <si>
    <r>
      <t xml:space="preserve">Force per cyl. </t>
    </r>
    <r>
      <rPr>
        <sz val="12"/>
        <rFont val="Arial"/>
        <family val="2"/>
      </rPr>
      <t>(</t>
    </r>
    <r>
      <rPr>
        <sz val="12"/>
        <color indexed="10"/>
        <rFont val="Arial"/>
        <family val="2"/>
      </rPr>
      <t>double rod, plumbed in series</t>
    </r>
    <r>
      <rPr>
        <sz val="12"/>
        <rFont val="Arial"/>
        <family val="2"/>
      </rPr>
      <t>)</t>
    </r>
  </si>
  <si>
    <t>Notes</t>
  </si>
  <si>
    <t>Shear Design:</t>
  </si>
  <si>
    <t xml:space="preserve">5" Bore x 2" Stroke, 2 1/2" diameter Double Rod </t>
  </si>
  <si>
    <t>Bowtie Blade configuration</t>
  </si>
  <si>
    <t>Spring operated material hold down pad (steel)</t>
  </si>
  <si>
    <t>.92 opening above .118 thk material</t>
  </si>
  <si>
    <t>Ref. Midway #33660 and John Deere #33865</t>
  </si>
  <si>
    <t>Hydraulic Design:</t>
  </si>
  <si>
    <t>25 GPM, 75 gallon reservoir, minimum</t>
  </si>
  <si>
    <t>2,000 psi operating pressure</t>
  </si>
  <si>
    <t>2,800 psi maximum system pressure</t>
  </si>
  <si>
    <t>Heat Exchanger</t>
  </si>
  <si>
    <t>Cylinders plumbed in series</t>
  </si>
  <si>
    <t>RMS TQ</t>
  </si>
  <si>
    <t>Sigma V Feed Selection</t>
  </si>
  <si>
    <t>Feed Angle 1</t>
  </si>
  <si>
    <t>Feed Angle 2</t>
  </si>
  <si>
    <t>Index Time 1</t>
  </si>
  <si>
    <t>Index Time 2</t>
  </si>
  <si>
    <t>Application</t>
  </si>
  <si>
    <t>Press Feed</t>
  </si>
  <si>
    <t>CPRF-S4 Plus</t>
  </si>
  <si>
    <t>Motor</t>
  </si>
  <si>
    <t>Machine Width</t>
  </si>
  <si>
    <t>AMP</t>
  </si>
  <si>
    <t>Loop Pit</t>
  </si>
  <si>
    <t>Y</t>
  </si>
  <si>
    <t>Full Width Rolls</t>
  </si>
  <si>
    <t>Width</t>
  </si>
  <si>
    <t>Thickness</t>
  </si>
  <si>
    <t>Density</t>
  </si>
  <si>
    <t>Mat'l In Loop</t>
  </si>
  <si>
    <t>STR Max Speed</t>
  </si>
  <si>
    <t>ft/min</t>
  </si>
  <si>
    <t>Chart Minimum Length</t>
  </si>
  <si>
    <t>Friction in Die</t>
  </si>
  <si>
    <t>Length Increment</t>
  </si>
  <si>
    <t>Acceleration Rate</t>
  </si>
  <si>
    <r>
      <t>ft/sec</t>
    </r>
    <r>
      <rPr>
        <i/>
        <vertAlign val="superscript"/>
        <sz val="10"/>
        <color theme="1"/>
        <rFont val="Calibri"/>
        <family val="2"/>
        <scheme val="minor"/>
      </rPr>
      <t>2</t>
    </r>
  </si>
  <si>
    <t>ReGen</t>
  </si>
  <si>
    <t>Watts</t>
  </si>
  <si>
    <t>REF. Inertia</t>
  </si>
  <si>
    <r>
      <t>lbs-in.sec</t>
    </r>
    <r>
      <rPr>
        <i/>
        <vertAlign val="superscript"/>
        <sz val="10"/>
        <color theme="1"/>
        <rFont val="Calibri"/>
        <family val="2"/>
        <scheme val="minor"/>
      </rPr>
      <t>2</t>
    </r>
  </si>
  <si>
    <t>Max. Mtr RPM</t>
  </si>
  <si>
    <t>rpm</t>
  </si>
  <si>
    <t>Mot. Peak Torque</t>
  </si>
  <si>
    <t>in-lbs</t>
  </si>
  <si>
    <t>MATCH</t>
  </si>
  <si>
    <t>Mot. Inertia</t>
  </si>
  <si>
    <t>Mot. RMS Torque</t>
  </si>
  <si>
    <t>Peak TQ.</t>
  </si>
  <si>
    <t>Frictional Torque</t>
  </si>
  <si>
    <t>RMS TQ. (FA 1)</t>
  </si>
  <si>
    <t>Settle Time</t>
  </si>
  <si>
    <t>sec</t>
  </si>
  <si>
    <t>Loop Torque</t>
  </si>
  <si>
    <t>RMS TQ. (FA 2)</t>
  </si>
  <si>
    <t>:1</t>
  </si>
  <si>
    <t>Settle Torque</t>
  </si>
  <si>
    <t xml:space="preserve">ACCEL TQ. </t>
  </si>
  <si>
    <t>O. Dia</t>
  </si>
  <si>
    <t>Max Mtr Tor</t>
  </si>
  <si>
    <t>Mot Inert.</t>
  </si>
  <si>
    <t>Mot Peak Tor</t>
  </si>
  <si>
    <t>Mot. RMS TQ.</t>
  </si>
  <si>
    <t>Settle Tor.</t>
  </si>
  <si>
    <t>Effic.</t>
  </si>
  <si>
    <t>REF. INERT</t>
  </si>
  <si>
    <t>GB ratio</t>
  </si>
  <si>
    <t>U Roll</t>
  </si>
  <si>
    <t>L Roll</t>
  </si>
  <si>
    <t>Ec</t>
  </si>
  <si>
    <t>Watts Lost</t>
  </si>
  <si>
    <t>CPRF-S1</t>
  </si>
  <si>
    <t>YASKAWA SGMSV-20DDA61</t>
  </si>
  <si>
    <t>YASKAWA SGDV-8R4DE1A000000300</t>
  </si>
  <si>
    <t>CPRF-S1 Plus</t>
  </si>
  <si>
    <t>CPRF-S2</t>
  </si>
  <si>
    <t>YASKAWA SGMSV-30DDA61</t>
  </si>
  <si>
    <t>YASKAWA SGDV-120DE1A000000300</t>
  </si>
  <si>
    <t>CPRF-S2 Plus</t>
  </si>
  <si>
    <t>CPRF-S3</t>
  </si>
  <si>
    <t>YASKAWA SGMGV-44DDA61</t>
  </si>
  <si>
    <t>YASKAWA SGDV-170DE1A000000300</t>
  </si>
  <si>
    <t>CPRF-S3 Plus</t>
  </si>
  <si>
    <t>CPRF-S4</t>
  </si>
  <si>
    <t>YASKAWA SGMGV-55DDB61</t>
  </si>
  <si>
    <t>YASKAWA SGDV-210DE1A000000300</t>
  </si>
  <si>
    <t>CPRF-S5</t>
  </si>
  <si>
    <t>YASKAWA SGMGV-1ADDA61</t>
  </si>
  <si>
    <t>YASKAWA SGDV-280DE1A000000300</t>
  </si>
  <si>
    <t>CPRF-S6</t>
  </si>
  <si>
    <t>CPRF-S7</t>
  </si>
  <si>
    <t>YASKAWA SGMGV-1EDDA61</t>
  </si>
  <si>
    <t>YASKAWA SGDV-370DE1A000000300</t>
  </si>
  <si>
    <t>CPRF-S8</t>
  </si>
  <si>
    <t>Cut to Length</t>
  </si>
  <si>
    <t>N</t>
  </si>
  <si>
    <t>RPM</t>
  </si>
  <si>
    <t>ACC TQ. (FA 2)</t>
  </si>
  <si>
    <t>Summary</t>
  </si>
  <si>
    <t>2) Compute wattage of Resistor          Wk = Ek/(0.2*duty cycle)</t>
  </si>
  <si>
    <t xml:space="preserve"> 1)  E = Energy </t>
  </si>
  <si>
    <r>
      <t xml:space="preserve">       Ek</t>
    </r>
    <r>
      <rPr>
        <sz val="8"/>
        <rFont val="Arial"/>
        <family val="2"/>
      </rPr>
      <t xml:space="preserve"> </t>
    </r>
    <r>
      <rPr>
        <i/>
        <sz val="8"/>
        <rFont val="Arial"/>
        <family val="2"/>
      </rPr>
      <t>(resistor)</t>
    </r>
    <r>
      <rPr>
        <sz val="8"/>
        <rFont val="Arial"/>
        <family val="2"/>
      </rPr>
      <t xml:space="preserve"> = </t>
    </r>
    <r>
      <rPr>
        <b/>
        <sz val="8"/>
        <rFont val="Arial"/>
        <family val="2"/>
      </rPr>
      <t>Es</t>
    </r>
    <r>
      <rPr>
        <i/>
        <sz val="8"/>
        <rFont val="Arial"/>
        <family val="2"/>
      </rPr>
      <t xml:space="preserve"> (shaft pwr)</t>
    </r>
    <r>
      <rPr>
        <sz val="8"/>
        <rFont val="Arial"/>
        <family val="2"/>
      </rPr>
      <t xml:space="preserve"> - </t>
    </r>
    <r>
      <rPr>
        <b/>
        <sz val="8"/>
        <rFont val="Arial"/>
        <family val="2"/>
      </rPr>
      <t>[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 xml:space="preserve">Em </t>
    </r>
    <r>
      <rPr>
        <i/>
        <sz val="8"/>
        <rFont val="Arial"/>
        <family val="2"/>
      </rPr>
      <t xml:space="preserve">(motor) + </t>
    </r>
    <r>
      <rPr>
        <b/>
        <sz val="8"/>
        <rFont val="Arial"/>
        <family val="2"/>
      </rPr>
      <t xml:space="preserve">Ec </t>
    </r>
    <r>
      <rPr>
        <i/>
        <sz val="8"/>
        <rFont val="Arial"/>
        <family val="2"/>
      </rPr>
      <t xml:space="preserve">(amp) </t>
    </r>
    <r>
      <rPr>
        <b/>
        <sz val="8"/>
        <rFont val="Arial"/>
        <family val="2"/>
      </rPr>
      <t>]</t>
    </r>
  </si>
  <si>
    <t xml:space="preserve">     ( Joules)</t>
  </si>
  <si>
    <r>
      <t>Step 1)</t>
    </r>
    <r>
      <rPr>
        <b/>
        <sz val="8"/>
        <rFont val="Arial"/>
        <family val="2"/>
      </rPr>
      <t xml:space="preserve">   </t>
    </r>
    <r>
      <rPr>
        <b/>
        <i/>
        <sz val="8"/>
        <rFont val="Arial"/>
        <family val="2"/>
      </rPr>
      <t xml:space="preserve"> Compute Rotational Energy of the System, Es (Joules)</t>
    </r>
  </si>
  <si>
    <t>Series (Coe Reference)</t>
  </si>
  <si>
    <t>Inertia             Mismatch :1                Load to Motor</t>
  </si>
  <si>
    <t>Motor Rotor Inertia kgm^2</t>
  </si>
  <si>
    <t>Total Inertia kgm^2</t>
  </si>
  <si>
    <t>RPM prior to decel</t>
  </si>
  <si>
    <t>Es (Joules)</t>
  </si>
  <si>
    <t>W_S</t>
  </si>
  <si>
    <r>
      <t xml:space="preserve">Step 2) </t>
    </r>
    <r>
      <rPr>
        <b/>
        <sz val="8"/>
        <rFont val="Arial"/>
        <family val="2"/>
      </rPr>
      <t xml:space="preserve">   </t>
    </r>
    <r>
      <rPr>
        <b/>
        <i/>
        <sz val="8"/>
        <rFont val="Arial"/>
        <family val="2"/>
      </rPr>
      <t>Calculate the energy lost in the servo motor windings,  Em (Joules)</t>
    </r>
  </si>
  <si>
    <t>Decel. time in Sec</t>
  </si>
  <si>
    <t>Watts lost per page 5-97 graph</t>
  </si>
  <si>
    <t>Em (Joules)</t>
  </si>
  <si>
    <t>Watts Lost:</t>
  </si>
  <si>
    <t>It will be assumed that in all cases</t>
  </si>
  <si>
    <t>this will be a fixed value based on</t>
  </si>
  <si>
    <t>Decl Time = Accel Time</t>
  </si>
  <si>
    <t xml:space="preserve">application torque being equal to motor </t>
  </si>
  <si>
    <t>rated torque</t>
  </si>
  <si>
    <r>
      <t xml:space="preserve">Step 3) </t>
    </r>
    <r>
      <rPr>
        <b/>
        <i/>
        <sz val="8"/>
        <rFont val="Arial"/>
        <family val="2"/>
      </rPr>
      <t xml:space="preserve"> Ec value from "Absorbable Servo Amplifier Energy Graph" </t>
    </r>
  </si>
  <si>
    <t>Joules per page 5-100 (Use 520V worse case)</t>
  </si>
  <si>
    <t>Joules:</t>
  </si>
  <si>
    <t xml:space="preserve">It will be assumed that value is </t>
  </si>
  <si>
    <t>for highest operating voltage.</t>
  </si>
  <si>
    <t xml:space="preserve">Step 4) </t>
  </si>
  <si>
    <r>
      <t>Ek</t>
    </r>
    <r>
      <rPr>
        <sz val="8"/>
        <rFont val="Arial"/>
        <family val="2"/>
      </rPr>
      <t xml:space="preserve"> </t>
    </r>
    <r>
      <rPr>
        <i/>
        <sz val="8"/>
        <rFont val="Arial"/>
        <family val="2"/>
      </rPr>
      <t>(resistor)</t>
    </r>
    <r>
      <rPr>
        <sz val="8"/>
        <rFont val="Arial"/>
        <family val="2"/>
      </rPr>
      <t xml:space="preserve"> = </t>
    </r>
  </si>
  <si>
    <t xml:space="preserve"> Es (servo system)  - </t>
  </si>
  <si>
    <t xml:space="preserve"> [ Em (motor)</t>
  </si>
  <si>
    <t>+ Ec (amp)]</t>
  </si>
  <si>
    <t>=</t>
  </si>
  <si>
    <t xml:space="preserve"> Joules</t>
  </si>
  <si>
    <t>Step 5)</t>
  </si>
  <si>
    <r>
      <t>Raw Watts</t>
    </r>
    <r>
      <rPr>
        <sz val="8"/>
        <rFont val="Arial"/>
        <family val="2"/>
      </rPr>
      <t xml:space="preserve"> to be dissipated = Ek / duty cylce</t>
    </r>
  </si>
  <si>
    <t>duty cycle (sec)</t>
  </si>
  <si>
    <t xml:space="preserve">                     </t>
  </si>
  <si>
    <t xml:space="preserve">                   = </t>
  </si>
  <si>
    <t>Duty Cycle:</t>
  </si>
  <si>
    <t>From Coe Spreadsheet.</t>
  </si>
  <si>
    <t xml:space="preserve">    </t>
  </si>
  <si>
    <t>It is a variable.</t>
  </si>
  <si>
    <r>
      <t xml:space="preserve"> De-rated Watts (Wk)</t>
    </r>
    <r>
      <rPr>
        <sz val="8"/>
        <rFont val="Arial"/>
        <family val="2"/>
      </rPr>
      <t xml:space="preserve"> = Ek/0.2*duty cycle</t>
    </r>
  </si>
  <si>
    <t xml:space="preserve">                    = </t>
  </si>
  <si>
    <t xml:space="preserve"> Watts</t>
  </si>
  <si>
    <t>CPRF-S1 PLUS</t>
  </si>
  <si>
    <t>CPRF-S2 PLUS</t>
  </si>
  <si>
    <t>CPRF-S3 PLUS</t>
  </si>
  <si>
    <t>CPRF-S4 PLUS</t>
  </si>
  <si>
    <t>O.DIA</t>
  </si>
  <si>
    <t>I.DIA</t>
  </si>
  <si>
    <t>LEN.</t>
  </si>
  <si>
    <t>DENS.</t>
  </si>
  <si>
    <t>QTY.</t>
  </si>
  <si>
    <t>LBS.</t>
  </si>
  <si>
    <t>INERT</t>
  </si>
  <si>
    <t>REF.I.</t>
  </si>
  <si>
    <t>U.ROLL</t>
  </si>
  <si>
    <t>U.ROLL-CONTACT</t>
  </si>
  <si>
    <t>JOURN.</t>
  </si>
  <si>
    <t>TAPPERED PORT.</t>
  </si>
  <si>
    <t>L.ROLL</t>
  </si>
  <si>
    <t>L.ROLL-CONTACT</t>
  </si>
  <si>
    <t>GEARS-IDLER</t>
  </si>
  <si>
    <t>GEARS-DRIVE</t>
  </si>
  <si>
    <t>GEARS-IDLER YSS630</t>
  </si>
  <si>
    <t>U.PUL.</t>
  </si>
  <si>
    <t>HUB YSS630</t>
  </si>
  <si>
    <t>D.GEARS YSS6633</t>
  </si>
  <si>
    <t>H90-5M-25-SDS</t>
  </si>
  <si>
    <t>P90-5MGT-25</t>
  </si>
  <si>
    <t>P112-5MGT-25</t>
  </si>
  <si>
    <t>HUB</t>
  </si>
  <si>
    <t>I.GEARS</t>
  </si>
  <si>
    <t>GEARS-DRIVE YSS627</t>
  </si>
  <si>
    <t>D.GEARS YSS636</t>
  </si>
  <si>
    <t>BUSH</t>
  </si>
  <si>
    <t>W90-8M-22-SDS</t>
  </si>
  <si>
    <t>W112-8M-22-SDS</t>
  </si>
  <si>
    <t>HUB YSS627</t>
  </si>
  <si>
    <t>I.GEARS YSS630</t>
  </si>
  <si>
    <t>SDS x 1 bore</t>
  </si>
  <si>
    <t>D.GEARS</t>
  </si>
  <si>
    <t>I.GEARS YSS636</t>
  </si>
  <si>
    <t>L.PUL.</t>
  </si>
  <si>
    <t>SDS :1-7/8 Bore</t>
  </si>
  <si>
    <t>SDS 178 :1-7/8 Bore</t>
  </si>
  <si>
    <t>P144-8M-50</t>
  </si>
  <si>
    <t>H30-5M-25-MPB</t>
  </si>
  <si>
    <t>P38-5MGT-25</t>
  </si>
  <si>
    <t>UPPER BUSH</t>
  </si>
  <si>
    <t>W28-8M-22-QT</t>
  </si>
  <si>
    <t>W34-8M-22-QT</t>
  </si>
  <si>
    <t>E-STYLE</t>
  </si>
  <si>
    <t>L.PUL. MPB</t>
  </si>
  <si>
    <t>QT :24mm Bore</t>
  </si>
  <si>
    <t>QT :32mm Bore</t>
  </si>
  <si>
    <t>P30-8M-50</t>
  </si>
  <si>
    <t>BRAND</t>
  </si>
  <si>
    <t xml:space="preserve"> TYPE</t>
  </si>
  <si>
    <t>EFFIC.</t>
  </si>
  <si>
    <t>G.BOX</t>
  </si>
  <si>
    <t>THICK.</t>
  </si>
  <si>
    <t>LN.FLT</t>
  </si>
  <si>
    <t xml:space="preserve"> DENS.</t>
  </si>
  <si>
    <t xml:space="preserve">  LOOP</t>
  </si>
  <si>
    <t xml:space="preserve"> LOOP</t>
  </si>
  <si>
    <t>MAT'L.</t>
  </si>
  <si>
    <t xml:space="preserve">Feed Angle 1 </t>
  </si>
  <si>
    <t>RMS TQ.</t>
  </si>
  <si>
    <t>RUN TIME</t>
  </si>
  <si>
    <t>DWELL TIME</t>
  </si>
  <si>
    <t>INDEX TIME</t>
  </si>
  <si>
    <t>CYCLE TIME</t>
  </si>
  <si>
    <t>STROKES/MIN</t>
  </si>
  <si>
    <t>Sigma V Feeder Straightener Selection</t>
  </si>
  <si>
    <t>Index Time</t>
  </si>
  <si>
    <t>Payoff Max Speed</t>
  </si>
  <si>
    <t>Mat. In Loop</t>
  </si>
  <si>
    <t>Cnt. Dist.</t>
  </si>
  <si>
    <t>K Const.</t>
  </si>
  <si>
    <t>Friction @DIE</t>
  </si>
  <si>
    <t>RMS TQ. (FA1)</t>
  </si>
  <si>
    <t>RMS TQ. (FA2)</t>
  </si>
  <si>
    <t>Regen</t>
  </si>
  <si>
    <t>Max Mtr RPM</t>
  </si>
  <si>
    <t>CPRF-S1 ES</t>
  </si>
  <si>
    <t>CPRF-S2 ES</t>
  </si>
  <si>
    <t>CPRF-S3 ES</t>
  </si>
  <si>
    <t>CPRF-S3 RS</t>
  </si>
  <si>
    <t>CPRF-S3 RS Plus</t>
  </si>
  <si>
    <t>CPRF-S4 RS</t>
  </si>
  <si>
    <t>CPRF-S4 HS</t>
  </si>
  <si>
    <t>CPRF-S4 RS Plus</t>
  </si>
  <si>
    <t>YASKAWA SGMGH-55QCB-YAXX</t>
  </si>
  <si>
    <t>YASKAWA SGDH-60DE</t>
  </si>
  <si>
    <t>CPRF-S4 HS Plus</t>
  </si>
  <si>
    <t>YASKAWA SGMGH-1ADCA61</t>
  </si>
  <si>
    <t>YASKAWA SGDH-1ADE</t>
  </si>
  <si>
    <t>YASKAWA SGMGH-1EDCA61</t>
  </si>
  <si>
    <t>YASKAWA SGDH-1EDE</t>
  </si>
  <si>
    <t>ACC TQ. (FA1)</t>
  </si>
  <si>
    <t>D.GEARS YSS630</t>
  </si>
  <si>
    <t>I.GEARS YSS627</t>
  </si>
  <si>
    <t>S.ROLL</t>
  </si>
  <si>
    <t>S.P ROLL</t>
  </si>
  <si>
    <t xml:space="preserve">TABLE OF CONTENTS </t>
  </si>
  <si>
    <t>(click sheet # to go directly to sheet-click "Return to Tbl of Contents" to return here)</t>
  </si>
  <si>
    <t>Reel Drive</t>
  </si>
  <si>
    <t>Str. Utility (1)</t>
  </si>
  <si>
    <t>Str. Utility (2)</t>
  </si>
  <si>
    <t>7 Roll Str. Backbend (1)</t>
  </si>
  <si>
    <t>7 Roll Str. Backbend (2)</t>
  </si>
  <si>
    <t>9 Roll Str. Backbend (1)</t>
  </si>
  <si>
    <t>9 Roll Str. Backbend (2)</t>
  </si>
  <si>
    <t>11 Roll Str. Backbend (1)</t>
  </si>
  <si>
    <t>11 Roll Str. Backbend (2)</t>
  </si>
  <si>
    <t>Single Rake-Hyd. Shear (1)</t>
  </si>
  <si>
    <t>Single Rake-Hyd. Shear (2)</t>
  </si>
  <si>
    <t>Bow Tie-Hyd. Shear (1)</t>
  </si>
  <si>
    <t>Bow Tie-Hyd Shear (2)</t>
  </si>
  <si>
    <t>Zig-Zag</t>
  </si>
  <si>
    <t>Equipment Summary Page</t>
  </si>
  <si>
    <t>Scenario 1</t>
  </si>
  <si>
    <t>Scenario 2</t>
  </si>
  <si>
    <t>Material Type</t>
  </si>
  <si>
    <t>Amp</t>
  </si>
  <si>
    <t>Yaskawa</t>
  </si>
  <si>
    <t>SGDV-120DE1A002000</t>
  </si>
  <si>
    <t>SGMSV-30DDA61</t>
  </si>
  <si>
    <t>Lead Screw</t>
  </si>
  <si>
    <t>Max Motor Speed</t>
  </si>
  <si>
    <t>Screw RPM</t>
  </si>
  <si>
    <t>Motor Inertia</t>
  </si>
  <si>
    <t>Lb-In-S^2</t>
  </si>
  <si>
    <t>REFL.I</t>
  </si>
  <si>
    <t>Motor Peak Torque</t>
  </si>
  <si>
    <t>In-Lb</t>
  </si>
  <si>
    <t>PK. TQ</t>
  </si>
  <si>
    <t>Motor RMS Torque</t>
  </si>
  <si>
    <t>Max Accel Rate</t>
  </si>
  <si>
    <t>Ft/S^2</t>
  </si>
  <si>
    <t>ACC.TQ</t>
  </si>
  <si>
    <t>Max Vel Ft/S:Min</t>
  </si>
  <si>
    <t>42 Tooth</t>
  </si>
  <si>
    <t>Misc Friction At Motor</t>
  </si>
  <si>
    <t>Driven Shv</t>
  </si>
  <si>
    <t>MIN.LN</t>
  </si>
  <si>
    <t>SETTLE TIME</t>
  </si>
  <si>
    <t>Seconds</t>
  </si>
  <si>
    <t>INCR.</t>
  </si>
  <si>
    <t>Screw Lead</t>
  </si>
  <si>
    <t>In per Thd</t>
  </si>
  <si>
    <t>In-Lb Tq for Lb Force Out</t>
  </si>
  <si>
    <t>Coef. of F</t>
  </si>
  <si>
    <t>Weight Drag (lbF)</t>
  </si>
  <si>
    <t>Screw Axial Load</t>
  </si>
  <si>
    <t>24 Tooth</t>
  </si>
  <si>
    <t>Drive Shv</t>
  </si>
  <si>
    <t>MOVE TIME</t>
  </si>
  <si>
    <t>STROKES / MIN</t>
  </si>
  <si>
    <t>Tq(j)</t>
  </si>
  <si>
    <t>Torque to Acc Motor</t>
  </si>
  <si>
    <t>Tq(j-r)</t>
  </si>
  <si>
    <t>Torque to Accel Reflected Inertia</t>
  </si>
  <si>
    <t>Tq-Acc #</t>
  </si>
  <si>
    <t>Torque to Acc Weight</t>
  </si>
  <si>
    <t>Tq-Acc-F</t>
  </si>
  <si>
    <t>Torque to Acc Drag</t>
  </si>
  <si>
    <t>Sum</t>
  </si>
  <si>
    <t>Total of Torque Req.</t>
  </si>
  <si>
    <t>Tq@GB In</t>
  </si>
  <si>
    <t>Torque Not Used Up Accelerating Motor Itself</t>
  </si>
  <si>
    <t>Thompson Data sheet Tq @ Lead screw = Axial load * Lead/5.65 with result in in-lb</t>
  </si>
  <si>
    <t>Tran-Tek Polymer Nut Tq@ Leadscrew=Axial Load*1.8 for 6" lead or AL*1.2 for 4" lead with result in In-Lb</t>
  </si>
  <si>
    <t>F=MA; M=W/g</t>
  </si>
  <si>
    <t>Accel Tq=Rotating masses+weight/32.2+drag*Lead/5.65/ratio</t>
  </si>
  <si>
    <t>Total Load</t>
  </si>
  <si>
    <t>Efficiency</t>
  </si>
  <si>
    <t>Lead</t>
  </si>
  <si>
    <t>Ref Inert</t>
  </si>
  <si>
    <t>Load</t>
  </si>
  <si>
    <t>Pivot to Scr.</t>
  </si>
  <si>
    <t>Notes:</t>
  </si>
  <si>
    <t>Assumed Move Distance</t>
  </si>
  <si>
    <t>Gray Cells can be changed, others are calculated</t>
  </si>
  <si>
    <t>Vel in In/Sec</t>
  </si>
  <si>
    <t>Inertias are Lb-In-Sec^2</t>
  </si>
  <si>
    <t>Angle of Assumed Move in Radians</t>
  </si>
  <si>
    <t>Torques are in In-Lb</t>
  </si>
  <si>
    <t>Sec to go Assumed Move at Vel</t>
  </si>
  <si>
    <t>For Swing Shear, Enter Pivot to Screw Inches at K52</t>
  </si>
  <si>
    <t>Time it would take to accel @ accel to assumed move distance</t>
  </si>
  <si>
    <t>For Swing Shear, Enter Weight and Inertia for Rotating Parts at P51 and Q51</t>
  </si>
  <si>
    <t>Vel in In/Sec after Time to accel assumed move</t>
  </si>
  <si>
    <t>For Linear application, Enter 0 at K52 and enter Weight at P51</t>
  </si>
  <si>
    <t>Vel in Radians/Second for assumed distance</t>
  </si>
  <si>
    <t>Change Ratio by changing Gearbox ratio and Sheave diameters</t>
  </si>
  <si>
    <t>Angular Accel in radians/Second2</t>
  </si>
  <si>
    <t>Linear Force for Accelerating the Shear (Lbs)</t>
  </si>
  <si>
    <t>Allen Bradley Feed Selection</t>
  </si>
  <si>
    <t>CPRF-S6 MPL</t>
  </si>
  <si>
    <t>Other AMP's:</t>
  </si>
  <si>
    <t>Mat'l in Loop</t>
  </si>
  <si>
    <t>STR Speed</t>
  </si>
  <si>
    <t>CPRF-S1 MPL</t>
  </si>
  <si>
    <t>AB MPL-B4530F</t>
  </si>
  <si>
    <t>AB 2098-XXX-HV050</t>
  </si>
  <si>
    <t>CPRF-S2 MPL</t>
  </si>
  <si>
    <t>AB MPL-B4540F</t>
  </si>
  <si>
    <t>AB 2098-XXX-HV100</t>
  </si>
  <si>
    <t>CPRF-S3 MPL</t>
  </si>
  <si>
    <t>AB MPL-B580F</t>
  </si>
  <si>
    <t>AB 2094-BC04 + 2094-M03 w/ Int SHUNT</t>
  </si>
  <si>
    <t>CPRF-S3 MPM</t>
  </si>
  <si>
    <t>AB MPM-B1653C</t>
  </si>
  <si>
    <t>CPRF-S4 MPL</t>
  </si>
  <si>
    <t>AB MPL-B680D</t>
  </si>
  <si>
    <t>AB 2095 BC04 + 2094-M03 + 2094-BSP2 + 1394 SR9AF</t>
  </si>
  <si>
    <t>CPRF-S5 MPL</t>
  </si>
  <si>
    <t>AB MPL-B860D</t>
  </si>
  <si>
    <t>AB 2094-BC07 + 2094-M05 + 1394-SR36A</t>
  </si>
  <si>
    <t>AB 2094-BC07 + 2094-BM05 + 1394-SR36A</t>
  </si>
  <si>
    <t>CPRF-S7 MPL</t>
  </si>
  <si>
    <t>AB MPL-B980C</t>
  </si>
  <si>
    <t>AB 2094-BC07 + 2094 M05 + 2094-BSP2 + 1394 SR36A</t>
  </si>
  <si>
    <t>CPRF-S8 MPL</t>
  </si>
  <si>
    <t>AB 2094-BM05 + 2094 BC07 +1394 SR36A</t>
  </si>
  <si>
    <t>225_AB_MPL-B4530F</t>
  </si>
  <si>
    <t>AB 2098-xxx-HV050</t>
  </si>
  <si>
    <t>263_AB_MPL-B4540F</t>
  </si>
  <si>
    <t>AB 2098-xxx-HV100</t>
  </si>
  <si>
    <t>300_AB_MPM1651F</t>
  </si>
  <si>
    <t>AB MPM-B1651F</t>
  </si>
  <si>
    <t>*</t>
  </si>
  <si>
    <t>400_AB_MPL w/ 300 mot</t>
  </si>
  <si>
    <t>AB 2092-xxx-HV100 + w/ no ext. shunt</t>
  </si>
  <si>
    <t>450_Hollow_AB_MPL420P</t>
  </si>
  <si>
    <t>AB MPL-B420P</t>
  </si>
  <si>
    <t>500_AB_MPL-B680P</t>
  </si>
  <si>
    <t>600_AB_Special_MPL_B680D</t>
  </si>
  <si>
    <t>Shimpo VRS-180B-5</t>
  </si>
  <si>
    <t>Shimpo VRS-140B-5</t>
  </si>
  <si>
    <t>36-37</t>
  </si>
  <si>
    <t>14MX-</t>
  </si>
  <si>
    <t>80-37</t>
  </si>
  <si>
    <t>60-37</t>
  </si>
  <si>
    <t>50-37</t>
  </si>
  <si>
    <t>CPRF-S8-500</t>
  </si>
  <si>
    <t>CPRF-S7-500</t>
  </si>
  <si>
    <t>CPRF-S7-350</t>
  </si>
  <si>
    <t>CPRF-S6-500</t>
  </si>
  <si>
    <t>CPRF-S6-350</t>
  </si>
  <si>
    <t>CPRF-S5-350</t>
  </si>
  <si>
    <t>14MX</t>
  </si>
  <si>
    <r>
      <t xml:space="preserve">Material Thickness </t>
    </r>
    <r>
      <rPr>
        <i/>
        <sz val="11"/>
        <color theme="1"/>
        <rFont val="Calibri"/>
        <family val="2"/>
        <scheme val="minor"/>
      </rPr>
      <t>(in)</t>
    </r>
  </si>
  <si>
    <r>
      <t xml:space="preserve">Material Tensile </t>
    </r>
    <r>
      <rPr>
        <i/>
        <sz val="11"/>
        <color theme="1"/>
        <rFont val="Calibri"/>
        <family val="2"/>
        <scheme val="minor"/>
      </rPr>
      <t>(psi)</t>
    </r>
  </si>
  <si>
    <t>D14473_XXD</t>
  </si>
  <si>
    <t>Threading Drive, Drag Brake &amp; Holddown (1)</t>
  </si>
  <si>
    <t>Threading Drive, Drag Brake &amp; Holddown (2)</t>
  </si>
  <si>
    <t>Select Roll</t>
  </si>
  <si>
    <t>Select Feed Direction</t>
  </si>
  <si>
    <t>Select Controls Level</t>
  </si>
  <si>
    <t>Type of line</t>
  </si>
  <si>
    <t>Sigma 5 Feed (1)</t>
  </si>
  <si>
    <t>Sigma 5 Feed (2)</t>
  </si>
  <si>
    <t>Sigma 5 Feed with Pull Thru (2)</t>
  </si>
  <si>
    <t>Sigma 5 Feed with Pull Thru (1)</t>
  </si>
  <si>
    <t>Allen Bradley MPL - Feed (2)</t>
  </si>
  <si>
    <t>Allen Bradley MPL - Feed (1)</t>
  </si>
  <si>
    <t>Str. Width (in)</t>
  </si>
  <si>
    <t>Feed Rate (ft/min)</t>
  </si>
  <si>
    <t>Acceleration (ft/sec)</t>
  </si>
  <si>
    <t>Horsepower (HP)</t>
  </si>
  <si>
    <t>None</t>
  </si>
  <si>
    <t>Feed Direction</t>
  </si>
  <si>
    <t>Controls Level</t>
  </si>
  <si>
    <t>CAUTION</t>
  </si>
  <si>
    <t>OK</t>
  </si>
  <si>
    <t>41"</t>
  </si>
  <si>
    <t>40"</t>
  </si>
  <si>
    <t>54.75"</t>
  </si>
  <si>
    <t>37"</t>
  </si>
  <si>
    <t>39"</t>
  </si>
  <si>
    <t>40.5"</t>
  </si>
  <si>
    <t>41.5"</t>
  </si>
  <si>
    <t>42"</t>
  </si>
  <si>
    <t>43"</t>
  </si>
  <si>
    <t>43.625"</t>
  </si>
  <si>
    <t>44"</t>
  </si>
  <si>
    <t>45"</t>
  </si>
  <si>
    <t>45.5"</t>
  </si>
  <si>
    <t>46"</t>
  </si>
  <si>
    <t>46.5"</t>
  </si>
  <si>
    <t>47"</t>
  </si>
  <si>
    <t>47.4"</t>
  </si>
  <si>
    <t>47.5"</t>
  </si>
  <si>
    <t>48"</t>
  </si>
  <si>
    <t>48.5"</t>
  </si>
  <si>
    <t>49"</t>
  </si>
  <si>
    <t>49.5"</t>
  </si>
  <si>
    <t>50.5"</t>
  </si>
  <si>
    <t>50.75"</t>
  </si>
  <si>
    <t>51"</t>
  </si>
  <si>
    <t>51.5"</t>
  </si>
  <si>
    <t>51.75"</t>
  </si>
  <si>
    <t>52"</t>
  </si>
  <si>
    <t>52.25"</t>
  </si>
  <si>
    <t>52.5"</t>
  </si>
  <si>
    <t>53"</t>
  </si>
  <si>
    <t>54"</t>
  </si>
  <si>
    <t>54.5"</t>
  </si>
  <si>
    <t>55"</t>
  </si>
  <si>
    <t>55.25"</t>
  </si>
  <si>
    <t>55.50"</t>
  </si>
  <si>
    <t>55.75"</t>
  </si>
  <si>
    <t>56"</t>
  </si>
  <si>
    <t>56.50"</t>
  </si>
  <si>
    <t>57"</t>
  </si>
  <si>
    <t>58"</t>
  </si>
  <si>
    <t>58.25"</t>
  </si>
  <si>
    <t>59"</t>
  </si>
  <si>
    <t>59.50"</t>
  </si>
  <si>
    <t>60"</t>
  </si>
  <si>
    <t>60.50"</t>
  </si>
  <si>
    <t>61"</t>
  </si>
  <si>
    <t>62"</t>
  </si>
  <si>
    <t>62.5"</t>
  </si>
  <si>
    <t>63"</t>
  </si>
  <si>
    <t>64"</t>
  </si>
  <si>
    <t>64.5"</t>
  </si>
  <si>
    <t>65"</t>
  </si>
  <si>
    <t>66"</t>
  </si>
  <si>
    <t>66.5"</t>
  </si>
  <si>
    <t>67"</t>
  </si>
  <si>
    <t>70"</t>
  </si>
  <si>
    <t>72"</t>
  </si>
  <si>
    <t>75"</t>
  </si>
  <si>
    <t>76"</t>
  </si>
  <si>
    <t>Passline</t>
  </si>
  <si>
    <t>Threading Drive</t>
  </si>
  <si>
    <t>TD, DB, HD OK</t>
  </si>
  <si>
    <t>ABOK</t>
  </si>
  <si>
    <t>Conventional CTL</t>
  </si>
  <si>
    <t>ACCEL</t>
  </si>
  <si>
    <t>material</t>
  </si>
  <si>
    <t>width</t>
  </si>
  <si>
    <t>ACCTM</t>
  </si>
  <si>
    <t>ACCTM_2</t>
  </si>
  <si>
    <t>ACCTQ</t>
  </si>
  <si>
    <t>ACCTQ_2</t>
  </si>
  <si>
    <t>ALLACC</t>
  </si>
  <si>
    <t>ALLACC_2</t>
  </si>
  <si>
    <t>application</t>
  </si>
  <si>
    <t>CYCTM</t>
  </si>
  <si>
    <t>CYCTM_2</t>
  </si>
  <si>
    <t>DecTm</t>
  </si>
  <si>
    <t>DWLTM</t>
  </si>
  <si>
    <t>DWLTM_2</t>
  </si>
  <si>
    <t>Ek</t>
  </si>
  <si>
    <t>Em</t>
  </si>
  <si>
    <t>Es</t>
  </si>
  <si>
    <t>FA</t>
  </si>
  <si>
    <t>FA_2</t>
  </si>
  <si>
    <t>FRICTQ</t>
  </si>
  <si>
    <t>INCR</t>
  </si>
  <si>
    <t>LOOPTQ</t>
  </si>
  <si>
    <t>LostWatts</t>
  </si>
  <si>
    <t>MINLN</t>
  </si>
  <si>
    <t>MINT</t>
  </si>
  <si>
    <t>model</t>
  </si>
  <si>
    <t>MOVTM</t>
  </si>
  <si>
    <t>MOVTM_2</t>
  </si>
  <si>
    <t>MPEAK</t>
  </si>
  <si>
    <t>MRMS</t>
  </si>
  <si>
    <t>MRPM</t>
  </si>
  <si>
    <t>PEAKTQ</t>
  </si>
  <si>
    <t>reflin</t>
  </si>
  <si>
    <t>regen</t>
  </si>
  <si>
    <t>RMSTQ</t>
  </si>
  <si>
    <t>RMSTQ_2</t>
  </si>
  <si>
    <t>ROLLWIDTH</t>
  </si>
  <si>
    <t>SETTM</t>
  </si>
  <si>
    <t>SETTQ</t>
  </si>
  <si>
    <t>StrMaxSp</t>
  </si>
  <si>
    <t>StrMaxSpInch</t>
  </si>
  <si>
    <t>T</t>
  </si>
  <si>
    <t>Tint</t>
  </si>
  <si>
    <t>vel</t>
  </si>
  <si>
    <t>Time2</t>
  </si>
  <si>
    <t>Conventional</t>
  </si>
  <si>
    <t>Compact</t>
  </si>
  <si>
    <t>Pull Through</t>
  </si>
  <si>
    <t>Compact CTL</t>
  </si>
  <si>
    <t>Pull Through CTL</t>
  </si>
  <si>
    <t>Pull Through Compact</t>
  </si>
  <si>
    <t>Cut To Length</t>
  </si>
  <si>
    <t>Regen2</t>
  </si>
  <si>
    <t>Failsafe - Single Stage</t>
  </si>
  <si>
    <t>MaxWeight</t>
  </si>
  <si>
    <t>ForceFactor</t>
  </si>
  <si>
    <t>FaceWidth</t>
  </si>
  <si>
    <t>Torque At Mandrel</t>
  </si>
  <si>
    <t>Brake Style</t>
  </si>
  <si>
    <t>Straightener Model:</t>
  </si>
  <si>
    <t>LookupBrakeQty</t>
  </si>
  <si>
    <t>LookupBrakeType</t>
  </si>
  <si>
    <t>LookupHolddown</t>
  </si>
  <si>
    <t>LookupReels</t>
  </si>
  <si>
    <t>LookupMaterial</t>
  </si>
  <si>
    <t>LookupApplication</t>
  </si>
  <si>
    <t>LookupStrModel</t>
  </si>
  <si>
    <t>LookupStrRollers</t>
  </si>
  <si>
    <t>LookupYesNo</t>
  </si>
  <si>
    <t>LookupSigma5Feed</t>
  </si>
  <si>
    <t>LookupSigma5FeedPT</t>
  </si>
  <si>
    <t>LookupABFeed</t>
  </si>
  <si>
    <t>Fric. Torque</t>
  </si>
  <si>
    <t>Worksheet Specific Names</t>
  </si>
  <si>
    <t>MatWidth</t>
  </si>
  <si>
    <t>MatLoop</t>
  </si>
  <si>
    <t>MatThickness</t>
  </si>
  <si>
    <t>MatDensity</t>
  </si>
  <si>
    <t>MatLnFLT</t>
  </si>
  <si>
    <t>MODEL</t>
  </si>
  <si>
    <t>S_Roll</t>
  </si>
  <si>
    <t>SP_Roll</t>
  </si>
  <si>
    <t>RollWidth</t>
  </si>
  <si>
    <t>LookupTypeOfLine</t>
  </si>
  <si>
    <t>LookupYN</t>
  </si>
  <si>
    <t>PR Teeth</t>
  </si>
  <si>
    <t>PRoll DP</t>
  </si>
  <si>
    <t>SRoll Teeth</t>
  </si>
  <si>
    <t>SRoll DP</t>
  </si>
  <si>
    <t>FS Spring Force</t>
  </si>
  <si>
    <t>From Pressure Form</t>
  </si>
  <si>
    <t>Brake Type</t>
  </si>
  <si>
    <t>From Pressure Form:</t>
  </si>
  <si>
    <t>These are defined on this sheet</t>
  </si>
  <si>
    <t>StrMaxSPInch</t>
  </si>
  <si>
    <t>LookupInertia</t>
  </si>
  <si>
    <t>Ref. Inertia</t>
  </si>
  <si>
    <t>LookupPTStrRollers</t>
  </si>
  <si>
    <t>LookupSPinch</t>
  </si>
  <si>
    <t>Yes (2)</t>
  </si>
  <si>
    <t>No (0)</t>
  </si>
  <si>
    <t>Sigma 5 Feed With Pull Thru (1)</t>
  </si>
  <si>
    <t>Time3</t>
  </si>
  <si>
    <t>FEED ANGLE 1</t>
  </si>
  <si>
    <t>FEED ANGLE 2</t>
  </si>
  <si>
    <t>Regen3</t>
  </si>
  <si>
    <t>S_ROLL</t>
  </si>
  <si>
    <t>SP_ROLL</t>
  </si>
  <si>
    <t>STR_TO</t>
  </si>
  <si>
    <t>CPRF-S3 Plus RS</t>
  </si>
  <si>
    <t>CPRF-S4 HS PLUS</t>
  </si>
  <si>
    <t>CPRF-S4 RS PLUS</t>
  </si>
  <si>
    <t>CPRF-S1 ES Plus</t>
  </si>
  <si>
    <t>CPRF-S2 ES Plus</t>
  </si>
  <si>
    <t>Time4</t>
  </si>
  <si>
    <t>Sigma 5 Feed With Pull Thru (2)</t>
  </si>
  <si>
    <t>Regen4</t>
  </si>
  <si>
    <t>300_AB_MPL</t>
  </si>
  <si>
    <t>300_AB_MPM</t>
  </si>
  <si>
    <t>400_AB_MPL (w/ 300 Mot)</t>
  </si>
  <si>
    <t>400_AB_MPL</t>
  </si>
  <si>
    <t>600_AB_MPL</t>
  </si>
  <si>
    <t>700_AB_MPL</t>
  </si>
  <si>
    <t>800_AB_MPL</t>
  </si>
  <si>
    <t>Minor Dia</t>
  </si>
  <si>
    <t>Minor dia</t>
  </si>
  <si>
    <t>Driven Sheave</t>
  </si>
  <si>
    <t>33-8m-GT</t>
  </si>
  <si>
    <t>Drive BUSH</t>
  </si>
  <si>
    <t>SDS: 1-7/8 Bore</t>
  </si>
  <si>
    <t>SDS x 1 Bore</t>
  </si>
  <si>
    <t>14M-56</t>
  </si>
  <si>
    <t>Drive Sheave</t>
  </si>
  <si>
    <t>Bushing</t>
  </si>
  <si>
    <t>14M-56-68</t>
  </si>
  <si>
    <t>14M-71</t>
  </si>
  <si>
    <t>Drive Bush</t>
  </si>
  <si>
    <t>QT: 24mm Bore</t>
  </si>
  <si>
    <t>QT :38mm Bore</t>
  </si>
  <si>
    <t>14M-43</t>
  </si>
  <si>
    <t>14M-43-68</t>
  </si>
  <si>
    <t>14M-36</t>
  </si>
  <si>
    <t>ALPHA SP140-MF1-005</t>
  </si>
  <si>
    <t>Apex AF180-005</t>
  </si>
  <si>
    <t>ALPHA SP180-MF1-005</t>
  </si>
  <si>
    <t>Time5</t>
  </si>
  <si>
    <t>Regen5</t>
  </si>
  <si>
    <t>SPM</t>
  </si>
  <si>
    <t>Time6</t>
  </si>
  <si>
    <t>Regen6</t>
  </si>
  <si>
    <t>7 Roll Str. Backbend</t>
  </si>
  <si>
    <t>=Inertia!$M$41</t>
  </si>
  <si>
    <t>=Inertia!$B$41</t>
  </si>
  <si>
    <t>=Inertia!$X$41</t>
  </si>
  <si>
    <t>=Inertia!$AI$41</t>
  </si>
  <si>
    <t>=Inertia!$AT$43</t>
  </si>
  <si>
    <t>=Inertia!$BE$43</t>
  </si>
  <si>
    <t>=Inertia!$BP$43</t>
  </si>
  <si>
    <t>=Inertia!$CA$43</t>
  </si>
  <si>
    <t>=Inertia!$CL$43</t>
  </si>
  <si>
    <t>=Inertia!$CW$46</t>
  </si>
  <si>
    <t>=Inertia!$DH$46</t>
  </si>
  <si>
    <t>=Inertia!$DS$46</t>
  </si>
  <si>
    <t>Revision:</t>
  </si>
  <si>
    <t>StrGearTorq</t>
  </si>
  <si>
    <t>TD, DB, HD (1) OK</t>
  </si>
  <si>
    <t>TD, DB, HD (2) OK</t>
  </si>
  <si>
    <t>Powered Straightener</t>
  </si>
  <si>
    <t>Drag Brake</t>
  </si>
  <si>
    <t>Hold Down</t>
  </si>
  <si>
    <t>Straightening Rolls</t>
  </si>
  <si>
    <t>Pull Thru Straightener Rolls</t>
  </si>
  <si>
    <t>Pull Thru Pinch Rolls</t>
  </si>
  <si>
    <t>LookupFeedType</t>
  </si>
  <si>
    <t>Sigma 5 Feed</t>
  </si>
  <si>
    <t>Allen Bradley MPL - Feed</t>
  </si>
  <si>
    <t>Sigma 5 Feed with Pull Thru</t>
  </si>
  <si>
    <t>Feed Style</t>
  </si>
  <si>
    <t>Sheet Name</t>
  </si>
  <si>
    <t>LoopPit</t>
  </si>
  <si>
    <t>FullWidthRolls</t>
  </si>
  <si>
    <t>PT Str Rolls</t>
  </si>
  <si>
    <t>PT Pinch Rolls</t>
  </si>
  <si>
    <t>PassedTest</t>
  </si>
  <si>
    <t>Coil O.D. Calculated</t>
  </si>
  <si>
    <t>LookupControls</t>
  </si>
  <si>
    <t>Feed Controls</t>
  </si>
  <si>
    <t>N/A</t>
  </si>
  <si>
    <t>LookupStrBackbend</t>
  </si>
  <si>
    <t>9 Roll Str. Backbend</t>
  </si>
  <si>
    <t>11 Roll Str. Backbend</t>
  </si>
  <si>
    <t>ListHolddown</t>
  </si>
  <si>
    <t>ListStrBackbend</t>
  </si>
  <si>
    <t>ListBrakeType</t>
  </si>
  <si>
    <t>ListControls</t>
  </si>
  <si>
    <t>50"</t>
  </si>
  <si>
    <t>Required Maximum FPM</t>
  </si>
  <si>
    <t>Scenario 3</t>
  </si>
  <si>
    <t>Str. Utility (2) OK</t>
  </si>
  <si>
    <t>Str. Utility (3) OK</t>
  </si>
  <si>
    <t>TD, DB, HD (3) OK</t>
  </si>
  <si>
    <t>BearingDist</t>
  </si>
  <si>
    <t>FBearingDia</t>
  </si>
  <si>
    <t>RBearingDia</t>
  </si>
  <si>
    <t>CoilWeight</t>
  </si>
  <si>
    <t>MandrelDia</t>
  </si>
  <si>
    <t>FPM</t>
  </si>
  <si>
    <t>Threading Drive, Drag Brake &amp; Holddown (3)</t>
  </si>
  <si>
    <t>Str. Utility (3)</t>
  </si>
  <si>
    <t>7 Roll Str. Backbend (3)</t>
  </si>
  <si>
    <t>9 Roll Str. Backbend (3)</t>
  </si>
  <si>
    <t>11 Roll Str. Backbend (3)</t>
  </si>
  <si>
    <t>Other</t>
  </si>
  <si>
    <t>YIELD MET:</t>
  </si>
  <si>
    <t>All Str. Utility OK</t>
  </si>
  <si>
    <t>Press Bed Length</t>
  </si>
  <si>
    <t>PressBedLength</t>
  </si>
  <si>
    <t>MaxVelocity</t>
  </si>
  <si>
    <t>FA1Label</t>
  </si>
  <si>
    <t>FA2Label</t>
  </si>
  <si>
    <t>FA1Units</t>
  </si>
  <si>
    <t>FAS2Units</t>
  </si>
  <si>
    <t>Maximum Velocity ft/min</t>
  </si>
  <si>
    <t>Max Vel. ft/min</t>
  </si>
  <si>
    <t>Minimum Bend Radius (in)</t>
  </si>
  <si>
    <t>Min Loop Length (ft)</t>
  </si>
  <si>
    <t>PullOff</t>
  </si>
  <si>
    <t>Motorized</t>
  </si>
  <si>
    <r>
      <t xml:space="preserve">For COE to provide the customer with the best solution, </t>
    </r>
    <r>
      <rPr>
        <b/>
        <u/>
        <sz val="9"/>
        <color rgb="FFFF0000"/>
        <rFont val="Verdana"/>
        <family val="2"/>
      </rPr>
      <t>all</t>
    </r>
    <r>
      <rPr>
        <b/>
        <sz val="9"/>
        <color rgb="FFFF0000"/>
        <rFont val="Verdana"/>
        <family val="2"/>
      </rPr>
      <t xml:space="preserve"> </t>
    </r>
    <r>
      <rPr>
        <b/>
        <u/>
        <sz val="9"/>
        <color rgb="FF00B050"/>
        <rFont val="Verdana"/>
        <family val="2"/>
      </rPr>
      <t>green</t>
    </r>
    <r>
      <rPr>
        <b/>
        <sz val="9"/>
        <color rgb="FFFF0000"/>
        <rFont val="Verdana"/>
        <family val="2"/>
      </rPr>
      <t xml:space="preserve"> </t>
    </r>
    <r>
      <rPr>
        <b/>
        <u/>
        <sz val="9"/>
        <color rgb="FFFF0000"/>
        <rFont val="Verdana"/>
        <family val="2"/>
      </rPr>
      <t>highlighted</t>
    </r>
    <r>
      <rPr>
        <b/>
        <sz val="9"/>
        <color rgb="FFFF0000"/>
        <rFont val="Verdana"/>
        <family val="2"/>
      </rPr>
      <t xml:space="preserve"> </t>
    </r>
    <r>
      <rPr>
        <b/>
        <u/>
        <sz val="9"/>
        <color rgb="FFFF0000"/>
        <rFont val="Verdana"/>
        <family val="2"/>
      </rPr>
      <t>fields</t>
    </r>
    <r>
      <rPr>
        <b/>
        <sz val="9"/>
        <color rgb="FFFF0000"/>
        <rFont val="Verdana"/>
        <family val="2"/>
      </rPr>
      <t xml:space="preserve"> </t>
    </r>
    <r>
      <rPr>
        <b/>
        <u/>
        <sz val="9"/>
        <color rgb="FFFF0000"/>
        <rFont val="Verdana"/>
        <family val="2"/>
      </rPr>
      <t>must</t>
    </r>
    <r>
      <rPr>
        <b/>
        <sz val="9"/>
        <color rgb="FFFF0000"/>
        <rFont val="Verdana"/>
        <family val="2"/>
      </rPr>
      <t xml:space="preserve"> </t>
    </r>
    <r>
      <rPr>
        <b/>
        <u/>
        <sz val="9"/>
        <color rgb="FFFF0000"/>
        <rFont val="Verdana"/>
        <family val="2"/>
      </rPr>
      <t>be</t>
    </r>
    <r>
      <rPr>
        <b/>
        <sz val="9"/>
        <color rgb="FFFF0000"/>
        <rFont val="Verdana"/>
        <family val="2"/>
      </rPr>
      <t xml:space="preserve"> </t>
    </r>
    <r>
      <rPr>
        <b/>
        <u/>
        <sz val="9"/>
        <color rgb="FFFF0000"/>
        <rFont val="Verdana"/>
        <family val="2"/>
      </rPr>
      <t>completed</t>
    </r>
    <r>
      <rPr>
        <b/>
        <sz val="9"/>
        <color rgb="FFFF0000"/>
        <rFont val="Verdana"/>
        <family val="2"/>
      </rPr>
      <t xml:space="preserve"> and with accuracy.</t>
    </r>
  </si>
  <si>
    <t>Date:</t>
  </si>
  <si>
    <t>mm/dd/yyyy</t>
  </si>
  <si>
    <t>Company Name:</t>
  </si>
  <si>
    <t>State/Province:</t>
  </si>
  <si>
    <t>Street Address:</t>
  </si>
  <si>
    <t>ZIP/Postal Code:</t>
  </si>
  <si>
    <t>City:</t>
  </si>
  <si>
    <t>Country:</t>
  </si>
  <si>
    <t>Contact Name:</t>
  </si>
  <si>
    <t>Position:</t>
  </si>
  <si>
    <t>Phone number:</t>
  </si>
  <si>
    <t>Email:</t>
  </si>
  <si>
    <t>How many days/week is the company running?</t>
  </si>
  <si>
    <t>How many shifts/day is the company running?</t>
  </si>
  <si>
    <t>Aluminum</t>
  </si>
  <si>
    <t>Galvanized</t>
  </si>
  <si>
    <t>Stainless Steel</t>
  </si>
  <si>
    <t>Cold Rolled Steel</t>
  </si>
  <si>
    <t>Dual Phase</t>
  </si>
  <si>
    <t>Max Coil Width (in):</t>
  </si>
  <si>
    <t>Coil I.D. (in):</t>
  </si>
  <si>
    <t>Min Coil Width (in):</t>
  </si>
  <si>
    <t>Max Coil Weight (lbs):</t>
  </si>
  <si>
    <t>Max Coil O.D. (in):</t>
  </si>
  <si>
    <t>Max Coil Handling Capacity (lbs):</t>
  </si>
  <si>
    <t>Are you running partial coils, i.e. will you require rewinding?</t>
  </si>
  <si>
    <t>Minimum Material Thickness (in):</t>
  </si>
  <si>
    <t>Max Yield Stength (PSI):</t>
  </si>
  <si>
    <t>at Minimum Material Width (in):</t>
  </si>
  <si>
    <t>Max Tensile Strength (PSI):</t>
  </si>
  <si>
    <t>Maximum Material Thickness (in):</t>
  </si>
  <si>
    <t>at Full Machine Width (in):</t>
  </si>
  <si>
    <t>Max Material Thickness to be Run (in):</t>
  </si>
  <si>
    <t>at Width of (in):</t>
  </si>
  <si>
    <t xml:space="preserve">   Highest Yield or most challenging Mat Spec? (thick, in):</t>
  </si>
  <si>
    <r>
      <t xml:space="preserve">If company is going to be running different material matrix's, these documents </t>
    </r>
    <r>
      <rPr>
        <b/>
        <u/>
        <sz val="9"/>
        <color theme="1"/>
        <rFont val="Verdana"/>
        <family val="2"/>
      </rPr>
      <t>must</t>
    </r>
    <r>
      <rPr>
        <b/>
        <sz val="9"/>
        <color theme="1"/>
        <rFont val="Verdana"/>
        <family val="2"/>
      </rPr>
      <t xml:space="preserve"> be provided.</t>
    </r>
  </si>
  <si>
    <t>Does the surface finish matter? Are they running a cosmetic material?</t>
  </si>
  <si>
    <t>Current brand of feed equipment?</t>
  </si>
  <si>
    <t>Type of Press:</t>
  </si>
  <si>
    <t>Gap Frame Press:</t>
  </si>
  <si>
    <t>OBI:</t>
  </si>
  <si>
    <t>Shear Die Application:</t>
  </si>
  <si>
    <t>Other:</t>
  </si>
  <si>
    <t>Hydraulic Press:</t>
  </si>
  <si>
    <t>Servo Press:</t>
  </si>
  <si>
    <t>Straight Side Press:</t>
  </si>
  <si>
    <t>Tonnage of Press:</t>
  </si>
  <si>
    <t>Press Bed Area:</t>
  </si>
  <si>
    <t>Width (in):</t>
  </si>
  <si>
    <t>x</t>
  </si>
  <si>
    <t>Length (in):</t>
  </si>
  <si>
    <t>Press Stroke Length (in):</t>
  </si>
  <si>
    <t>Window Opening Size of Press (in):</t>
  </si>
  <si>
    <t>Press Max SPM:</t>
  </si>
  <si>
    <t>Type of Dies:</t>
  </si>
  <si>
    <t>Transfer Dies</t>
  </si>
  <si>
    <t>Progressive Dies</t>
  </si>
  <si>
    <t>Blanking Dies</t>
  </si>
  <si>
    <r>
      <rPr>
        <sz val="9"/>
        <color indexed="8"/>
        <rFont val="Verdana"/>
        <family val="2"/>
      </rPr>
      <t>Average feed length:</t>
    </r>
  </si>
  <si>
    <t>inches at</t>
  </si>
  <si>
    <t>Feed Window Degrees:</t>
  </si>
  <si>
    <t>Maximum feed length:</t>
  </si>
  <si>
    <t>(continuous press running motion)</t>
  </si>
  <si>
    <t>Minimum feed length:</t>
  </si>
  <si>
    <t>Press Cycle Time (sec):</t>
  </si>
  <si>
    <t>(Pendulum or FSP only)</t>
  </si>
  <si>
    <t>Voltage Required:</t>
  </si>
  <si>
    <t>VAC</t>
  </si>
  <si>
    <t>If Yes,</t>
  </si>
  <si>
    <t>Length (ft):</t>
  </si>
  <si>
    <t>Width (ft):</t>
  </si>
  <si>
    <t>Can the feeder be mounted to the press?</t>
  </si>
  <si>
    <t xml:space="preserve"> If "YES", we must verify there is adequate structural support to mount to. Is there adequate support?</t>
  </si>
  <si>
    <t>If "No", it will require a cabinet.</t>
  </si>
  <si>
    <t>Will you need custom mounting plate(s)?</t>
  </si>
  <si>
    <t>Passline Height (in):</t>
  </si>
  <si>
    <t>Will there be a loop pit?</t>
  </si>
  <si>
    <t>Is coil change time a concern?</t>
  </si>
  <si>
    <t>If so, what is your coil change time goal? (min)</t>
  </si>
  <si>
    <t>What are reasons you experience unplanned downtime? (insert answer into Special Considerations section below)</t>
  </si>
  <si>
    <t>Coil Loading:</t>
  </si>
  <si>
    <t>Will your line require guarding or special safety requirements?</t>
  </si>
  <si>
    <t>When will decision be made on project:</t>
  </si>
  <si>
    <t>mm/dd/yyyy - mm/dd/yyyy</t>
  </si>
  <si>
    <t>Ideal Delivery Date:</t>
  </si>
  <si>
    <t>Earliest date customer can except delivery:</t>
  </si>
  <si>
    <t>Latest date customer can except delivery:</t>
  </si>
  <si>
    <t>Special Considerations:</t>
  </si>
  <si>
    <t>Beryl Copper</t>
  </si>
  <si>
    <t>Titanium</t>
  </si>
  <si>
    <t>Feed Direction:</t>
  </si>
  <si>
    <t>Straightener-Reel Combination</t>
  </si>
  <si>
    <t>Max @ Width</t>
  </si>
  <si>
    <t>Max @ Full</t>
  </si>
  <si>
    <t>Scenario 4</t>
  </si>
  <si>
    <t>Str. Utility - Materials Range</t>
  </si>
  <si>
    <t>Maximum Thick</t>
  </si>
  <si>
    <t>Minimum Thick</t>
  </si>
  <si>
    <t>Mini-Drive System</t>
  </si>
  <si>
    <t>Relay Machine</t>
  </si>
  <si>
    <t>SyncMaster</t>
  </si>
  <si>
    <t>IP Indexer Basic</t>
  </si>
  <si>
    <t>Allen Bradley Basic</t>
  </si>
  <si>
    <t>IP Indexer Plus</t>
  </si>
  <si>
    <t>Allen Bradley Plus</t>
  </si>
  <si>
    <t>Fully Automatic</t>
  </si>
  <si>
    <t>Line Application:</t>
  </si>
  <si>
    <t>Line Type:</t>
  </si>
  <si>
    <t>Pull Through:</t>
  </si>
  <si>
    <t>CPR-040</t>
  </si>
  <si>
    <t>CPR-060</t>
  </si>
  <si>
    <t>CPR-080</t>
  </si>
  <si>
    <t>6,12,18,24,30</t>
  </si>
  <si>
    <t>6,12,18,24,30,36,42,48</t>
  </si>
  <si>
    <t>12,18,24,30,36,42,48,54,60</t>
  </si>
  <si>
    <t>18,24,30,36,42,48,54,60,66,72</t>
  </si>
  <si>
    <t>36,42,48,54,60,66,72,78</t>
  </si>
  <si>
    <t>24,30,36,42,48,54,60,66,72,78</t>
  </si>
  <si>
    <t>24,48,52,60,78</t>
  </si>
  <si>
    <t>42,48,72</t>
  </si>
  <si>
    <t>42,48,66,78</t>
  </si>
  <si>
    <t>Dealer Name:</t>
  </si>
  <si>
    <t>Dealer Salesman:</t>
  </si>
  <si>
    <t>How critical is flatness for your blanking?</t>
  </si>
  <si>
    <t>Length Tolerance requirement (+/- in):</t>
  </si>
  <si>
    <t>Squareness Tolerance (in):</t>
  </si>
  <si>
    <t>Maximum blank stack weight (lbs):</t>
  </si>
  <si>
    <t>Longest blank length (in):</t>
  </si>
  <si>
    <t>Average # of blanks required/8 hour shift:</t>
  </si>
  <si>
    <t>Shortest blank length (in):</t>
  </si>
  <si>
    <t>Brass</t>
  </si>
  <si>
    <t>DUAL PHASE</t>
  </si>
  <si>
    <t>COLD ROLLED STEEL</t>
  </si>
  <si>
    <t>STAINLESS STEEL</t>
  </si>
  <si>
    <t>GALVANIZED</t>
  </si>
  <si>
    <t>HOT ROLLED STEEL</t>
  </si>
  <si>
    <t>ListMaterial</t>
  </si>
  <si>
    <t>Hot Rolled Steel</t>
  </si>
  <si>
    <t>HS Steel</t>
  </si>
  <si>
    <t>HS STEEL</t>
  </si>
  <si>
    <t>Which type of coils will you be running?</t>
  </si>
  <si>
    <t xml:space="preserve"> Slit Edge</t>
  </si>
  <si>
    <t xml:space="preserve"> Mill Edge</t>
  </si>
  <si>
    <t>Flatness Tolerance Requirements (in):</t>
  </si>
  <si>
    <t>Coil Specifications:</t>
  </si>
  <si>
    <t>TD, DB, HD (4) OK</t>
  </si>
  <si>
    <t>Str. Utility (4) OK</t>
  </si>
  <si>
    <t>Threading Drive, Drag Brake &amp; Holddown (4)</t>
  </si>
  <si>
    <t>11 Roll Str. Backbend (4)</t>
  </si>
  <si>
    <t>9 Roll Str. Backbend (4)</t>
  </si>
  <si>
    <t>Str. Utility (4)</t>
  </si>
  <si>
    <t>7 Roll Str. Backbend (4)</t>
  </si>
  <si>
    <t>RFQ</t>
  </si>
  <si>
    <t>psi Air</t>
  </si>
  <si>
    <t>No</t>
  </si>
  <si>
    <t>Threading Table</t>
  </si>
  <si>
    <t>Feed</t>
  </si>
  <si>
    <t>Straightener</t>
  </si>
  <si>
    <t>Reel</t>
  </si>
  <si>
    <t>T4696_NARROW</t>
  </si>
  <si>
    <t>FPMBuffer</t>
  </si>
  <si>
    <t>NoReel</t>
  </si>
  <si>
    <t>ListTypeOfLine</t>
  </si>
  <si>
    <t>TypeOfLine</t>
  </si>
  <si>
    <t>ReelType</t>
  </si>
  <si>
    <t>PullThruUsed</t>
  </si>
  <si>
    <t>Yes</t>
  </si>
  <si>
    <t>SelectedApplication</t>
  </si>
  <si>
    <t>SelectedReelType</t>
  </si>
  <si>
    <t>SelectedPullThruUsed</t>
  </si>
  <si>
    <t>Feed-Pull Through</t>
  </si>
  <si>
    <t>Feed-Pull Through-Shear</t>
  </si>
  <si>
    <t>Feed-Shear</t>
  </si>
  <si>
    <t>ReelUsed</t>
  </si>
  <si>
    <t>StrUsed</t>
  </si>
  <si>
    <t>FeedUsed</t>
  </si>
  <si>
    <t>StackerUsed</t>
  </si>
  <si>
    <t>ShearUsed</t>
  </si>
  <si>
    <t>SelectedReelUsed</t>
  </si>
  <si>
    <t>SelectedStrUsed</t>
  </si>
  <si>
    <t>SelectedFeedUsed</t>
  </si>
  <si>
    <t>SelectedStackerUsed</t>
  </si>
  <si>
    <t>SelectedShearUsed</t>
  </si>
  <si>
    <t>XXD</t>
  </si>
  <si>
    <t>LD</t>
  </si>
  <si>
    <t>MD</t>
  </si>
  <si>
    <t>HD</t>
  </si>
  <si>
    <t>XD</t>
  </si>
  <si>
    <t>T4696_STANDARD</t>
  </si>
  <si>
    <t>LD_STANDARD</t>
  </si>
  <si>
    <t>LD_NARROW</t>
  </si>
  <si>
    <t>LD_MOTORIZED</t>
  </si>
  <si>
    <t>T4696_MOTORIZED</t>
  </si>
  <si>
    <t>psi Hydraulic</t>
  </si>
  <si>
    <t>psi Air 4in</t>
  </si>
  <si>
    <t>psi Air 5in</t>
  </si>
  <si>
    <t>Standalone</t>
  </si>
  <si>
    <t>LineType</t>
  </si>
  <si>
    <t>PullThruAllowed</t>
  </si>
  <si>
    <t>RFQMaterialType</t>
  </si>
  <si>
    <t>60 cu in (D-13382)</t>
  </si>
  <si>
    <t>Will a coil car be required?</t>
  </si>
  <si>
    <t>Hyd_1000</t>
  </si>
  <si>
    <t>BackbendMin</t>
  </si>
  <si>
    <t>BackbendMax</t>
  </si>
  <si>
    <t>BackbendConfirm</t>
  </si>
  <si>
    <t>BackbendOKText</t>
  </si>
  <si>
    <t>BackbendNCText</t>
  </si>
  <si>
    <t>BackbendNOText</t>
  </si>
  <si>
    <t>BACKBEND YIELD NOT CONFIRMED</t>
  </si>
  <si>
    <t>BACKBEND YIELD NOT OK</t>
  </si>
  <si>
    <t>DriveFamily</t>
  </si>
  <si>
    <t>HolddownFamily</t>
  </si>
  <si>
    <t>D1</t>
  </si>
  <si>
    <t>H1</t>
  </si>
  <si>
    <t>D2</t>
  </si>
  <si>
    <t>H2</t>
  </si>
  <si>
    <t>D3</t>
  </si>
  <si>
    <t>H3</t>
  </si>
  <si>
    <t>H4</t>
  </si>
  <si>
    <t>DriveKey</t>
  </si>
  <si>
    <t>Family</t>
  </si>
  <si>
    <t>AirClutch</t>
  </si>
  <si>
    <t>Drive</t>
  </si>
  <si>
    <t>Torque</t>
  </si>
  <si>
    <t>22 cu in (D-15125)</t>
  </si>
  <si>
    <t>38 cu in (D-15125)</t>
  </si>
  <si>
    <t>22 cu in (D-12689)</t>
  </si>
  <si>
    <t>38 cu in (D-13374)</t>
  </si>
  <si>
    <t>60 cu in (D-13374)</t>
  </si>
  <si>
    <t>Note: Forcefactor is multiplied by PSI to determine Hold Down Force Available</t>
  </si>
  <si>
    <t>HolddownMatrixKey</t>
  </si>
  <si>
    <t>Name</t>
  </si>
  <si>
    <t>CylinderType</t>
  </si>
  <si>
    <t>PressureLabel</t>
  </si>
  <si>
    <t>PSI</t>
  </si>
  <si>
    <t>4in Air</t>
  </si>
  <si>
    <t>5in Air</t>
  </si>
  <si>
    <t>Hydraulic</t>
  </si>
  <si>
    <t>Air</t>
  </si>
  <si>
    <t>Hydraulic 1000</t>
  </si>
  <si>
    <t>Models</t>
  </si>
  <si>
    <t>Cylinder</t>
  </si>
  <si>
    <t>* These dynamic arrays are used to populate the dropdowns on TD,DB, HD (1) based on Model chosen</t>
  </si>
  <si>
    <t>Sigma 5 Feeds</t>
  </si>
  <si>
    <t>Sigma 5 Feeds with Pull Through</t>
  </si>
  <si>
    <t>Allen-Bradley Feeds</t>
  </si>
  <si>
    <t>Acceleration</t>
  </si>
  <si>
    <t>Widths</t>
  </si>
  <si>
    <t>Sigma 5 Feed Widths</t>
  </si>
  <si>
    <t>Sigma 5 Feed Widths with Pull Through</t>
  </si>
  <si>
    <t>Default Accel</t>
  </si>
  <si>
    <t>Default Acceleration</t>
  </si>
  <si>
    <t>Sigma 5 Feed with Pull Through</t>
  </si>
  <si>
    <t>Str. Pinch Rolls</t>
  </si>
  <si>
    <t>TD, DB, HD All OK</t>
  </si>
  <si>
    <t>Current</t>
  </si>
  <si>
    <t>MtrInertia</t>
  </si>
  <si>
    <t>HP for Model</t>
  </si>
  <si>
    <t>MtrInertia for HP</t>
  </si>
  <si>
    <t>FPM for HP</t>
  </si>
  <si>
    <t>Str. Utility (1) OK</t>
  </si>
  <si>
    <t>Backup Rolls</t>
  </si>
  <si>
    <t>Hold Down Cylinder</t>
  </si>
  <si>
    <t>Back up Rolls</t>
  </si>
  <si>
    <t>MinWidth</t>
  </si>
  <si>
    <t>MaxPSI</t>
  </si>
  <si>
    <t>SD</t>
  </si>
  <si>
    <t>SD_MOTORIZED</t>
  </si>
  <si>
    <t>HD_Dual</t>
  </si>
  <si>
    <t>HX</t>
  </si>
  <si>
    <t>Sort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</si>
  <si>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</si>
  <si>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</si>
  <si>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</si>
  <si>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</si>
  <si>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</si>
  <si>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</si>
  <si>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</si>
  <si>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</si>
  <si>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</si>
  <si>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</si>
  <si>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Extra column for Sort pulls from secondary table to establish what order the Hold downs should be presented in.</t>
  </si>
  <si>
    <t>Min. Material Width</t>
  </si>
  <si>
    <t>HD_Single</t>
  </si>
  <si>
    <t>Rev. 01/26/2021</t>
  </si>
  <si>
    <t>Matl. Width</t>
  </si>
  <si>
    <t>Force Required</t>
  </si>
  <si>
    <t>PSI Req.</t>
  </si>
  <si>
    <t>Passed</t>
  </si>
  <si>
    <t>Reel Backplate</t>
  </si>
  <si>
    <t>Reel Style</t>
  </si>
  <si>
    <t>Standard Backplate</t>
  </si>
  <si>
    <t>Single Ended</t>
  </si>
  <si>
    <t>Reel Motorization</t>
  </si>
  <si>
    <t>Reel Width</t>
  </si>
  <si>
    <t>Backplate</t>
  </si>
  <si>
    <t>HoldDownCylinders</t>
  </si>
  <si>
    <t>HolddownModels</t>
  </si>
  <si>
    <t>ThreadingDrives</t>
  </si>
  <si>
    <t>ReelWidths</t>
  </si>
  <si>
    <t>FullODBackplate</t>
  </si>
  <si>
    <t>BackplateThickness</t>
  </si>
  <si>
    <t>ReelHPs</t>
  </si>
  <si>
    <t>ReelBPs</t>
  </si>
  <si>
    <t>Single or Double Ended</t>
  </si>
  <si>
    <t>Will you be running off the Backplate?</t>
  </si>
  <si>
    <t>Material Specifications:</t>
  </si>
  <si>
    <t>K</t>
  </si>
  <si>
    <t>BrakeFamily</t>
  </si>
  <si>
    <t>B1</t>
  </si>
  <si>
    <t>B2</t>
  </si>
  <si>
    <t>8in Air</t>
  </si>
  <si>
    <t>psi Air 8in</t>
  </si>
  <si>
    <t>Light Gauge Non-Marking</t>
  </si>
  <si>
    <t xml:space="preserve">Non-Marking </t>
  </si>
  <si>
    <t>Non-Marking</t>
  </si>
  <si>
    <t>Accel</t>
  </si>
  <si>
    <t>SyncMaster Plus</t>
  </si>
  <si>
    <t>Reel-Motorized</t>
  </si>
  <si>
    <t>Reel-Pull Off</t>
  </si>
  <si>
    <t>MacrosEnabled</t>
  </si>
  <si>
    <t>rev30</t>
  </si>
  <si>
    <t>* 1/25/2021 - Removed Threading Drive option for D1 family.</t>
  </si>
  <si>
    <t>RFQDate</t>
  </si>
  <si>
    <t>RFQ!Y7</t>
  </si>
  <si>
    <t>CompanyName</t>
  </si>
  <si>
    <t>Character</t>
  </si>
  <si>
    <t>RFQ!F9</t>
  </si>
  <si>
    <t>StateProvince</t>
  </si>
  <si>
    <t>RFQ!S9</t>
  </si>
  <si>
    <t>StreetAddress</t>
  </si>
  <si>
    <t>RFQ!F10</t>
  </si>
  <si>
    <t>ZipCode</t>
  </si>
  <si>
    <t>RFQ!S10</t>
  </si>
  <si>
    <t>City</t>
  </si>
  <si>
    <t>RFQ!F11</t>
  </si>
  <si>
    <t>Country</t>
  </si>
  <si>
    <t>RFQ!S11</t>
  </si>
  <si>
    <t>ContactName</t>
  </si>
  <si>
    <t>RFQ!F13</t>
  </si>
  <si>
    <t>ContactPosition</t>
  </si>
  <si>
    <t>RFQ!S13</t>
  </si>
  <si>
    <t>ContactPhone</t>
  </si>
  <si>
    <t>RFQ!F14</t>
  </si>
  <si>
    <t>ContactEmail</t>
  </si>
  <si>
    <t>RFQ!S14</t>
  </si>
  <si>
    <t>DealerName</t>
  </si>
  <si>
    <t>RFQ!F16</t>
  </si>
  <si>
    <t>DealerSalesman</t>
  </si>
  <si>
    <t>RFQ!S16</t>
  </si>
  <si>
    <t>NumDaysRunning</t>
  </si>
  <si>
    <t>Integer</t>
  </si>
  <si>
    <t>RFQ!M18</t>
  </si>
  <si>
    <t>NumberOfShifts</t>
  </si>
  <si>
    <t>RFQ!AA18</t>
  </si>
  <si>
    <t>MaxCoilWidth</t>
  </si>
  <si>
    <t>RFQ!G25</t>
  </si>
  <si>
    <t>CoilInnerDiameter</t>
  </si>
  <si>
    <t>RFQ!T25</t>
  </si>
  <si>
    <t>MinCoilWidth</t>
  </si>
  <si>
    <t>RFQ!G26</t>
  </si>
  <si>
    <t>MaxCoilWeight</t>
  </si>
  <si>
    <t>RFQ!T26</t>
  </si>
  <si>
    <t>MaxCoilOutsideDiameter</t>
  </si>
  <si>
    <t>RFQ!G27</t>
  </si>
  <si>
    <t>MaxCoilHandlingCapacity</t>
  </si>
  <si>
    <t>RFQ!T27</t>
  </si>
  <si>
    <t>SlitEdge</t>
  </si>
  <si>
    <t>Check Box</t>
  </si>
  <si>
    <t>MillEdge</t>
  </si>
  <si>
    <t>CoilCarRequired</t>
  </si>
  <si>
    <t>Logical</t>
  </si>
  <si>
    <t>RFQ!Q31</t>
  </si>
  <si>
    <t>RunningOffBackplate</t>
  </si>
  <si>
    <t>RFQ!Q33</t>
  </si>
  <si>
    <t>RequireRewinding</t>
  </si>
  <si>
    <t>RFQ!Q35</t>
  </si>
  <si>
    <t>MaxYieldThickness</t>
  </si>
  <si>
    <t>Decimal</t>
  </si>
  <si>
    <t>RFQ!I38</t>
  </si>
  <si>
    <t>MaxYieldMaterialType</t>
  </si>
  <si>
    <t>RFQ!O38</t>
  </si>
  <si>
    <t>MaxYieldStrength</t>
  </si>
  <si>
    <t>RFQ!Y38</t>
  </si>
  <si>
    <t>MaxYieldAtWidth</t>
  </si>
  <si>
    <t>RFQ!I39</t>
  </si>
  <si>
    <t>MaxYieldTensileStrength</t>
  </si>
  <si>
    <t>RFQ!Y39</t>
  </si>
  <si>
    <t>MaxMaterialThickness</t>
  </si>
  <si>
    <t>RFQ!I41</t>
  </si>
  <si>
    <t>MaxMaterialMatType</t>
  </si>
  <si>
    <t>RFQ!O41</t>
  </si>
  <si>
    <t>MaxMaterialMaxYieldStrength</t>
  </si>
  <si>
    <t>MaxMaterialAtWidth</t>
  </si>
  <si>
    <t>RFQ!I42</t>
  </si>
  <si>
    <t>MaxMaterialTensileStrength</t>
  </si>
  <si>
    <t>RFQ!Y42</t>
  </si>
  <si>
    <t>MinMaterialThickness</t>
  </si>
  <si>
    <t>RFQ!I44</t>
  </si>
  <si>
    <t>MinMaterialMatType</t>
  </si>
  <si>
    <t>RFQ!O44</t>
  </si>
  <si>
    <t>MinMaterialMaxYieldStrength</t>
  </si>
  <si>
    <t>RFQ!Y44</t>
  </si>
  <si>
    <t>MinMaterialAtWidth</t>
  </si>
  <si>
    <t>RFQ!I45</t>
  </si>
  <si>
    <t>MinMaterialTensileStrength</t>
  </si>
  <si>
    <t>RFQ!Y45</t>
  </si>
  <si>
    <t>MaxMaterialRunThickness</t>
  </si>
  <si>
    <t>RFQ!I47</t>
  </si>
  <si>
    <t>MaxMaterialRunMatType</t>
  </si>
  <si>
    <t>RFQ!O47</t>
  </si>
  <si>
    <t>MaxMaterialRunMaxYieldStrength</t>
  </si>
  <si>
    <t>RFQ!Y47</t>
  </si>
  <si>
    <t>MaxMaterialRunAtWidth</t>
  </si>
  <si>
    <t>RFQ!I48</t>
  </si>
  <si>
    <t>MaxMaterialRunTensileStrength</t>
  </si>
  <si>
    <t>RFQ!Y48</t>
  </si>
  <si>
    <t>RunningCosmeticMaterial</t>
  </si>
  <si>
    <t>RFQ!S52</t>
  </si>
  <si>
    <t>CurrentBrandOfFeedEquip</t>
  </si>
  <si>
    <t>RFQ!J54</t>
  </si>
  <si>
    <t>GapFramePress</t>
  </si>
  <si>
    <t>OBI</t>
  </si>
  <si>
    <t>ShearDieApplication</t>
  </si>
  <si>
    <t>HydraulicPress</t>
  </si>
  <si>
    <t>ServoPress</t>
  </si>
  <si>
    <t>StraightSidePress</t>
  </si>
  <si>
    <t>TonnageOfPress</t>
  </si>
  <si>
    <t>RFQ!G60</t>
  </si>
  <si>
    <t>PressBedAreaWidth</t>
  </si>
  <si>
    <t>RFQ!S60</t>
  </si>
  <si>
    <t>PressBedAreaLength</t>
  </si>
  <si>
    <t>RFQ!Z60</t>
  </si>
  <si>
    <t>PressStrokeLength</t>
  </si>
  <si>
    <t>RFQ!G61</t>
  </si>
  <si>
    <t>WindowOpeningSize</t>
  </si>
  <si>
    <t>RFQ!S61</t>
  </si>
  <si>
    <t>PressMaxSPM</t>
  </si>
  <si>
    <t>RFQ!G62</t>
  </si>
  <si>
    <t>TransferDies</t>
  </si>
  <si>
    <t>ProgressiveDies</t>
  </si>
  <si>
    <t>BlankingDies</t>
  </si>
  <si>
    <t>AverageFeedLength</t>
  </si>
  <si>
    <t>RFQ!G68</t>
  </si>
  <si>
    <t>AverageFeedLengthSPM</t>
  </si>
  <si>
    <t>RFQ!L68</t>
  </si>
  <si>
    <t>FeedWindowDegrees</t>
  </si>
  <si>
    <t>RFQ!Z68</t>
  </si>
  <si>
    <t>MaxFeedLength</t>
  </si>
  <si>
    <t>RFQ!G69</t>
  </si>
  <si>
    <t>MaxFeedLengthSPM</t>
  </si>
  <si>
    <t>RFQ!L69</t>
  </si>
  <si>
    <t>MinFeedLength</t>
  </si>
  <si>
    <t>RFQ!G70</t>
  </si>
  <si>
    <t>MinFeedLengthSPM</t>
  </si>
  <si>
    <t>RFQ!L70</t>
  </si>
  <si>
    <t>PressCycleTime</t>
  </si>
  <si>
    <t>RFQ!Z70</t>
  </si>
  <si>
    <t>HowCriticalFlatness</t>
  </si>
  <si>
    <t>RFQ!K73</t>
  </si>
  <si>
    <t>FlatnessTolerance</t>
  </si>
  <si>
    <t>RFQ!J75</t>
  </si>
  <si>
    <t>LengthTolerance</t>
  </si>
  <si>
    <t>RFQ!X75</t>
  </si>
  <si>
    <t>SquarenessTolerance</t>
  </si>
  <si>
    <t>RFQ!J76</t>
  </si>
  <si>
    <t>MaxBlankStackWeight</t>
  </si>
  <si>
    <t>RFQ!X76</t>
  </si>
  <si>
    <t>LongestBlankWeight</t>
  </si>
  <si>
    <t>RFQ!J77</t>
  </si>
  <si>
    <t>AvgNumBlanksRequired</t>
  </si>
  <si>
    <t>RFQ!X77</t>
  </si>
  <si>
    <t>ShortestBlankLength</t>
  </si>
  <si>
    <t>RFQ!J78</t>
  </si>
  <si>
    <t>VoltageRequired</t>
  </si>
  <si>
    <t>RFQ!F81</t>
  </si>
  <si>
    <t>SpaceConstraints</t>
  </si>
  <si>
    <t>RFQ!O83</t>
  </si>
  <si>
    <t>RFQ!I85</t>
  </si>
  <si>
    <t>ConstraintWidth</t>
  </si>
  <si>
    <t>RFQ!N85</t>
  </si>
  <si>
    <t>CanFeederBeMountedToPress</t>
  </si>
  <si>
    <t>RFQ!K87</t>
  </si>
  <si>
    <t>IsThereAdequateSupport</t>
  </si>
  <si>
    <t>RFQ!AA89</t>
  </si>
  <si>
    <t>WillNeedCustomMountingPlate</t>
  </si>
  <si>
    <t>RFQ!V91</t>
  </si>
  <si>
    <t>PasslineHeight</t>
  </si>
  <si>
    <t>RFQ!I93</t>
  </si>
  <si>
    <t>RFQ!S93</t>
  </si>
  <si>
    <t>IsCoilChangeTimeAConcern</t>
  </si>
  <si>
    <t>RFQ!H95</t>
  </si>
  <si>
    <t>CoilChangeTimeGoal</t>
  </si>
  <si>
    <t>RFQ!Z95</t>
  </si>
  <si>
    <t>FeedDirection</t>
  </si>
  <si>
    <t>RFQ!H99</t>
  </si>
  <si>
    <t>CoilLoading</t>
  </si>
  <si>
    <t>RFQ!V99</t>
  </si>
  <si>
    <t>GuardingOrSpecialRequirements</t>
  </si>
  <si>
    <t>RFQ!R102</t>
  </si>
  <si>
    <t>WhenWillDecisionBeMade</t>
  </si>
  <si>
    <t>RFQ!J105</t>
  </si>
  <si>
    <t>IdealDeliveryDate</t>
  </si>
  <si>
    <t>RFQ!G107</t>
  </si>
  <si>
    <t>EarliestDateToAcceptDelivery</t>
  </si>
  <si>
    <t>RFQ!X107</t>
  </si>
  <si>
    <t>LatestDateToAcceptDelivery</t>
  </si>
  <si>
    <t>RFQ!X108</t>
  </si>
  <si>
    <t>SpecialConsiderationsLine1</t>
  </si>
  <si>
    <t>RFQ!A110</t>
  </si>
  <si>
    <t>SpecialConsiderationsLine2</t>
  </si>
  <si>
    <t>RFQ!A111</t>
  </si>
  <si>
    <t>SpecialConsiderationsLine3</t>
  </si>
  <si>
    <t>RFQ!A112</t>
  </si>
  <si>
    <t>SpecialConsiderationsLine4</t>
  </si>
  <si>
    <t>RFQ!A113</t>
  </si>
  <si>
    <t>SpecialConsiderationsLine5</t>
  </si>
  <si>
    <t>RFQ!A114</t>
  </si>
  <si>
    <t>SpecialConsiderationsLine6</t>
  </si>
  <si>
    <t>RFQ!A115</t>
  </si>
  <si>
    <t>SpecialConsiderationsLine7</t>
  </si>
  <si>
    <t>RFQ!A116</t>
  </si>
  <si>
    <t>SpecialConsiderationsLine8</t>
  </si>
  <si>
    <t>RFQ!A117</t>
  </si>
  <si>
    <t>JourneyID</t>
  </si>
  <si>
    <t>Cell Name</t>
  </si>
  <si>
    <t>Cell DataType</t>
  </si>
  <si>
    <t>Cell Value</t>
  </si>
  <si>
    <t>Location</t>
  </si>
  <si>
    <t>Slit Edge</t>
  </si>
  <si>
    <t>Mill Edge</t>
  </si>
  <si>
    <t>Gap Frame Press</t>
  </si>
  <si>
    <t>Shear Die Application</t>
  </si>
  <si>
    <t>Hydraulic Press</t>
  </si>
  <si>
    <t>Servo Press</t>
  </si>
  <si>
    <t>Straight Side Press</t>
  </si>
  <si>
    <t>RFQ!AF39</t>
  </si>
  <si>
    <t>RFQ!AF38</t>
  </si>
  <si>
    <t>RFQ!AF40</t>
  </si>
  <si>
    <t>RFQ!AF41</t>
  </si>
  <si>
    <t>RFQ!AF42</t>
  </si>
  <si>
    <t>RFQ!AF43</t>
  </si>
  <si>
    <t>RFQ!AF44</t>
  </si>
  <si>
    <t>RFQ!AF45</t>
  </si>
  <si>
    <t>RFQ!AF46</t>
  </si>
  <si>
    <t>RFQ!AF47</t>
  </si>
  <si>
    <t>RFQ!AF48</t>
  </si>
  <si>
    <t>RFQ!AF49</t>
  </si>
  <si>
    <t>RFQ!AF50</t>
  </si>
  <si>
    <t>RFQ!Y41</t>
  </si>
  <si>
    <t>Are there any space constraints?</t>
  </si>
  <si>
    <t>RFQ!LineApplication</t>
  </si>
  <si>
    <t>ConstraintLength</t>
  </si>
  <si>
    <t>LineApplication</t>
  </si>
  <si>
    <t>RFQ!LineType</t>
  </si>
  <si>
    <t xml:space="preserve">Standalone </t>
  </si>
  <si>
    <t>Standalone Reel</t>
  </si>
  <si>
    <t>Standalone Straightener</t>
  </si>
  <si>
    <t>Standalone Straightener-Reel</t>
  </si>
  <si>
    <t>Standalone Threading Table</t>
  </si>
  <si>
    <t>Standalone Feed</t>
  </si>
  <si>
    <t>Standalone Stacker</t>
  </si>
  <si>
    <t>ULTRATECH TOOL&amp; DESIGN, INC.</t>
  </si>
  <si>
    <t>1210 W. Scott  St. P.O.Box 548</t>
  </si>
  <si>
    <t>Fond du Lac</t>
  </si>
  <si>
    <t>WISCONSIN</t>
  </si>
  <si>
    <t>USA</t>
  </si>
  <si>
    <t>Bill Melang</t>
  </si>
  <si>
    <t>920-922-0257 X201</t>
  </si>
  <si>
    <t>President</t>
  </si>
  <si>
    <t>bmelang@ultratechtooldesign.com</t>
  </si>
  <si>
    <t>TCR</t>
  </si>
  <si>
    <t>Todd Wenzel</t>
  </si>
  <si>
    <t>Left to Right</t>
  </si>
  <si>
    <t>Operator Side</t>
  </si>
  <si>
    <t>motorized adjustment of feeder +/-4.00"</t>
  </si>
  <si>
    <t>Pass line of 15" is distance from bolster.</t>
  </si>
  <si>
    <t>Note: floor to top side of bolster = 36.0"</t>
  </si>
  <si>
    <t>L to 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</si>
</sst>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6" formatCode="&quot;$&quot;#,##0_);[Red]\(&quot;$&quot;#,##0\)"/>
    <numFmt numFmtId="43" formatCode="_(* #,##0.00_);_(* \(#,##0.00\);_(* &quot;-&quot;??_);_(@_)"/>
    <numFmt numFmtId="164" formatCode="0.000"/>
    <numFmt numFmtId="165" formatCode="0.0"/>
    <numFmt numFmtId="166" formatCode="0000\ &quot;lbs&quot;"/>
    <numFmt numFmtId="167" formatCode="0.0000"/>
    <numFmt numFmtId="168" formatCode="0&quot; watts&quot;"/>
    <numFmt numFmtId="169" formatCode="0.00&quot; HP&quot;"/>
    <numFmt numFmtId="170" formatCode="0&quot; in/lbs&quot;"/>
    <numFmt numFmtId="171" formatCode="0.00&quot; sec&quot;"/>
    <numFmt numFmtId="172" formatCode="0.00&quot; ft/sec^2&quot;"/>
    <numFmt numFmtId="173" formatCode="General&quot; ft/min&quot;"/>
    <numFmt numFmtId="174" formatCode="#,##0&quot; lbs&quot;"/>
    <numFmt numFmtId="175" formatCode="0&quot; lbs&quot;"/>
    <numFmt numFmtId="176" formatCode="0.00000"/>
    <numFmt numFmtId="177" formatCode="#,##0.000"/>
    <numFmt numFmtId="178" formatCode="0\ &quot;in.&quot;"/>
    <numFmt numFmtId="179" formatCode="#,##0.000_);\(#,##0.000\)"/>
    <numFmt numFmtId="180" formatCode="#,##0.0000_);\(#,##0.0000\)"/>
    <numFmt numFmtId="181" formatCode="_(* #,##0.0_);_(* \(#,##0.0\);_(* &quot;-&quot;??_);_(@_)"/>
  </numFmts>
  <fonts count="109" x14ac:knownFonts="1">
    <font>
      <sz val="11"/>
      <color theme="1"/>
      <name val="Calibri"/>
      <family val="2"/>
      <scheme val="minor"/>
    </font>
    <font>
      <i/>
      <vertAlign val="superscript"/>
      <sz val="11"/>
      <color indexed="8"/>
      <name val="Calibri"/>
      <family val="2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b/>
      <u/>
      <sz val="16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sz val="11"/>
      <name val="Calibri"/>
      <family val="2"/>
      <scheme val="minor"/>
    </font>
    <font>
      <i/>
      <vertAlign val="superscript"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b/>
      <sz val="14"/>
      <name val="Arial"/>
      <family val="2"/>
    </font>
    <font>
      <sz val="10"/>
      <color indexed="9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sz val="10"/>
      <color indexed="81"/>
      <name val="Arial"/>
      <family val="2"/>
    </font>
    <font>
      <sz val="10"/>
      <color indexed="81"/>
      <name val="Arial"/>
      <family val="2"/>
    </font>
    <font>
      <b/>
      <sz val="8"/>
      <color indexed="81"/>
      <name val="Tahoma"/>
      <family val="2"/>
    </font>
    <font>
      <b/>
      <sz val="10"/>
      <color indexed="81"/>
      <name val="Tahoma"/>
      <family val="2"/>
    </font>
    <font>
      <b/>
      <u/>
      <sz val="12"/>
      <name val="Arial"/>
      <family val="2"/>
    </font>
    <font>
      <sz val="12"/>
      <name val="Arial"/>
      <family val="2"/>
    </font>
    <font>
      <b/>
      <sz val="12"/>
      <color theme="1"/>
      <name val="Arial"/>
      <family val="2"/>
    </font>
    <font>
      <sz val="12"/>
      <color indexed="12"/>
      <name val="Arial"/>
      <family val="2"/>
    </font>
    <font>
      <sz val="12"/>
      <color indexed="8"/>
      <name val="Arial"/>
      <family val="2"/>
    </font>
    <font>
      <b/>
      <i/>
      <u/>
      <sz val="12"/>
      <name val="Arial"/>
      <family val="2"/>
    </font>
    <font>
      <i/>
      <sz val="12"/>
      <name val="Arial"/>
      <family val="2"/>
    </font>
    <font>
      <b/>
      <sz val="12"/>
      <name val="Arial"/>
      <family val="2"/>
    </font>
    <font>
      <u/>
      <sz val="12"/>
      <name val="Arial"/>
      <family val="2"/>
    </font>
    <font>
      <sz val="12"/>
      <color indexed="10"/>
      <name val="Arial"/>
      <family val="2"/>
    </font>
    <font>
      <b/>
      <u/>
      <sz val="16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u/>
      <sz val="11"/>
      <color theme="1"/>
      <name val="Calibri"/>
      <family val="2"/>
    </font>
    <font>
      <i/>
      <sz val="10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i/>
      <vertAlign val="superscript"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ourier"/>
      <family val="3"/>
    </font>
    <font>
      <b/>
      <i/>
      <sz val="12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ourier"/>
      <family val="3"/>
    </font>
    <font>
      <sz val="10"/>
      <name val="Calibri"/>
      <family val="2"/>
      <scheme val="minor"/>
    </font>
    <font>
      <sz val="12"/>
      <name val="Courier"/>
      <family val="3"/>
    </font>
    <font>
      <b/>
      <sz val="12"/>
      <color indexed="12"/>
      <name val="Courier"/>
      <family val="3"/>
    </font>
    <font>
      <b/>
      <i/>
      <u/>
      <sz val="8"/>
      <color indexed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i/>
      <sz val="8"/>
      <name val="Arial"/>
      <family val="2"/>
    </font>
    <font>
      <b/>
      <u/>
      <sz val="8"/>
      <name val="Arial"/>
      <family val="2"/>
    </font>
    <font>
      <b/>
      <i/>
      <sz val="8"/>
      <name val="Arial"/>
      <family val="2"/>
    </font>
    <font>
      <sz val="8"/>
      <color indexed="12"/>
      <name val="Arial"/>
      <family val="2"/>
    </font>
    <font>
      <sz val="7"/>
      <name val="Arial"/>
      <family val="2"/>
    </font>
    <font>
      <sz val="11"/>
      <name val="Calibri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0"/>
      <color indexed="22"/>
      <name val="Arial"/>
      <family val="2"/>
    </font>
    <font>
      <i/>
      <sz val="10"/>
      <name val="Arial"/>
      <family val="2"/>
    </font>
    <font>
      <sz val="8"/>
      <color indexed="81"/>
      <name val="Tahoma"/>
      <family val="2"/>
    </font>
    <font>
      <sz val="10"/>
      <color indexed="81"/>
      <name val="Tahoma"/>
      <family val="2"/>
    </font>
    <font>
      <b/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theme="1"/>
      <name val="Calibri"/>
      <family val="2"/>
      <scheme val="minor"/>
    </font>
    <font>
      <b/>
      <u/>
      <sz val="8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name val="Calibri"/>
      <family val="2"/>
      <scheme val="minor"/>
    </font>
    <font>
      <i/>
      <sz val="11"/>
      <color theme="0" tint="-0.34998626667073579"/>
      <name val="Calibri"/>
      <family val="2"/>
      <scheme val="minor"/>
    </font>
    <font>
      <sz val="11"/>
      <color rgb="FF000000"/>
      <name val="Calibri"/>
      <family val="2"/>
    </font>
    <font>
      <b/>
      <sz val="10"/>
      <color rgb="FFFF0000"/>
      <name val="Calibri"/>
      <family val="2"/>
    </font>
    <font>
      <b/>
      <sz val="9"/>
      <color rgb="FFFF0000"/>
      <name val="Calibri"/>
      <family val="2"/>
    </font>
    <font>
      <i/>
      <sz val="1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Verdana"/>
      <family val="2"/>
    </font>
    <font>
      <b/>
      <sz val="14"/>
      <color theme="1"/>
      <name val="Verdana"/>
      <family val="2"/>
    </font>
    <font>
      <b/>
      <sz val="9"/>
      <color rgb="FFFF0000"/>
      <name val="Verdana"/>
      <family val="2"/>
    </font>
    <font>
      <b/>
      <u/>
      <sz val="9"/>
      <color rgb="FFFF0000"/>
      <name val="Verdana"/>
      <family val="2"/>
    </font>
    <font>
      <b/>
      <u/>
      <sz val="9"/>
      <color rgb="FF00B050"/>
      <name val="Verdana"/>
      <family val="2"/>
    </font>
    <font>
      <sz val="8"/>
      <color rgb="FFFF0000"/>
      <name val="Verdana"/>
      <family val="2"/>
    </font>
    <font>
      <b/>
      <i/>
      <sz val="12"/>
      <color rgb="FF0000FF"/>
      <name val="Verdana"/>
      <family val="2"/>
    </font>
    <font>
      <b/>
      <sz val="9"/>
      <color theme="1"/>
      <name val="Verdana"/>
      <family val="2"/>
    </font>
    <font>
      <sz val="10"/>
      <color rgb="FFFF0000"/>
      <name val="Verdana"/>
      <family val="2"/>
    </font>
    <font>
      <strike/>
      <sz val="10"/>
      <color rgb="FFFF0000"/>
      <name val="Verdana"/>
      <family val="2"/>
    </font>
    <font>
      <sz val="7"/>
      <color theme="1"/>
      <name val="Verdana"/>
      <family val="2"/>
    </font>
    <font>
      <sz val="9"/>
      <color theme="1"/>
      <name val="Verdana"/>
      <family val="2"/>
    </font>
    <font>
      <sz val="9"/>
      <name val="Verdana"/>
      <family val="2"/>
    </font>
    <font>
      <sz val="8"/>
      <color theme="1"/>
      <name val="Verdana"/>
      <family val="2"/>
    </font>
    <font>
      <sz val="9"/>
      <color rgb="FF0000FF"/>
      <name val="Verdana"/>
      <family val="2"/>
    </font>
    <font>
      <b/>
      <u/>
      <sz val="9"/>
      <color theme="1"/>
      <name val="Verdana"/>
      <family val="2"/>
    </font>
    <font>
      <b/>
      <sz val="7"/>
      <color rgb="FFFF0000"/>
      <name val="Verdana"/>
      <family val="2"/>
    </font>
    <font>
      <b/>
      <sz val="11"/>
      <color theme="1"/>
      <name val="Verdana"/>
      <family val="2"/>
    </font>
    <font>
      <sz val="9"/>
      <color indexed="8"/>
      <name val="Verdana"/>
      <family val="2"/>
    </font>
    <font>
      <b/>
      <sz val="11"/>
      <color rgb="FF000000"/>
      <name val="Calibri"/>
      <family val="2"/>
    </font>
    <font>
      <sz val="10"/>
      <color theme="0"/>
      <name val="Arial"/>
      <family val="2"/>
    </font>
    <font>
      <sz val="8"/>
      <color rgb="FF000000"/>
      <name val="Segoe UI"/>
      <family val="2"/>
    </font>
    <font>
      <sz val="11"/>
      <color theme="0" tint="-0.34998626667073579"/>
      <name val="Calibri"/>
      <family val="2"/>
      <scheme val="minor"/>
    </font>
    <font>
      <b/>
      <sz val="9"/>
      <color rgb="FF0070C0"/>
      <name val="Calibri"/>
      <family val="2"/>
      <scheme val="minor"/>
    </font>
    <font>
      <b/>
      <i/>
      <sz val="9"/>
      <color rgb="FF0070C0"/>
      <name val="Calibri"/>
      <family val="2"/>
      <scheme val="minor"/>
    </font>
    <font>
      <sz val="9"/>
      <name val="Calibri"/>
      <family val="2"/>
      <scheme val="minor"/>
    </font>
    <font>
      <b/>
      <sz val="10"/>
      <color rgb="FF0070C0"/>
      <name val="Arial"/>
      <family val="2"/>
    </font>
  </fonts>
  <fills count="2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theme="0" tint="-0.14999847407452621"/>
        <bgColor indexed="64"/>
      </patternFill>
    </fill>
  </fills>
  <borders count="8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dotted">
        <color indexed="10"/>
      </left>
      <right/>
      <top style="dotted">
        <color indexed="10"/>
      </top>
      <bottom/>
      <diagonal/>
    </border>
    <border>
      <left/>
      <right/>
      <top style="dotted">
        <color indexed="10"/>
      </top>
      <bottom/>
      <diagonal/>
    </border>
    <border>
      <left/>
      <right style="dotted">
        <color indexed="10"/>
      </right>
      <top style="dotted">
        <color indexed="10"/>
      </top>
      <bottom/>
      <diagonal/>
    </border>
    <border>
      <left style="dotted">
        <color indexed="10"/>
      </left>
      <right/>
      <top/>
      <bottom/>
      <diagonal/>
    </border>
    <border>
      <left/>
      <right style="dotted">
        <color indexed="10"/>
      </right>
      <top/>
      <bottom/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dotted">
        <color indexed="10"/>
      </left>
      <right/>
      <top/>
      <bottom style="dotted">
        <color indexed="10"/>
      </bottom>
      <diagonal/>
    </border>
    <border>
      <left/>
      <right/>
      <top style="medium">
        <color indexed="8"/>
      </top>
      <bottom style="dotted">
        <color indexed="10"/>
      </bottom>
      <diagonal/>
    </border>
    <border>
      <left/>
      <right style="dotted">
        <color indexed="10"/>
      </right>
      <top/>
      <bottom style="dotted">
        <color indexed="10"/>
      </bottom>
      <diagonal/>
    </border>
    <border>
      <left style="dotted">
        <color indexed="10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/>
      <top/>
      <bottom style="dotted">
        <color indexed="10"/>
      </bottom>
      <diagonal/>
    </border>
    <border>
      <left/>
      <right/>
      <top style="medium">
        <color indexed="8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9">
    <xf numFmtId="0" fontId="0" fillId="0" borderId="0"/>
    <xf numFmtId="0" fontId="9" fillId="0" borderId="0" applyProtection="0"/>
    <xf numFmtId="0" fontId="9" fillId="0" borderId="0"/>
    <xf numFmtId="9" fontId="9" fillId="0" borderId="0" applyFont="0" applyFill="0" applyBorder="0" applyAlignment="0" applyProtection="0"/>
    <xf numFmtId="0" fontId="27" fillId="0" borderId="0"/>
    <xf numFmtId="0" fontId="43" fillId="0" borderId="0"/>
    <xf numFmtId="43" fontId="9" fillId="0" borderId="0" applyFont="0" applyFill="0" applyBorder="0" applyAlignment="0" applyProtection="0"/>
    <xf numFmtId="0" fontId="72" fillId="0" borderId="0" applyNumberFormat="0" applyFill="0" applyBorder="0" applyAlignment="0" applyProtection="0"/>
    <xf numFmtId="43" fontId="13" fillId="0" borderId="0" applyFont="0" applyFill="0" applyBorder="0" applyAlignment="0" applyProtection="0"/>
  </cellStyleXfs>
  <cellXfs count="1057">
    <xf numFmtId="0" fontId="0" fillId="0" borderId="0" xfId="0"/>
    <xf numFmtId="0" fontId="2" fillId="0" borderId="1" xfId="0" applyFont="1" applyBorder="1"/>
    <xf numFmtId="0" fontId="0" fillId="0" borderId="0" xfId="0" applyAlignment="1">
      <alignment horizontal="center" vertical="center"/>
    </xf>
    <xf numFmtId="0" fontId="4" fillId="0" borderId="0" xfId="0" applyFont="1"/>
    <xf numFmtId="164" fontId="0" fillId="0" borderId="0" xfId="0" applyNumberFormat="1" applyAlignment="1">
      <alignment horizontal="center" vertical="center"/>
    </xf>
    <xf numFmtId="0" fontId="0" fillId="0" borderId="1" xfId="0" applyBorder="1"/>
    <xf numFmtId="2" fontId="0" fillId="0" borderId="1" xfId="0" applyNumberFormat="1" applyBorder="1"/>
    <xf numFmtId="2" fontId="0" fillId="0" borderId="0" xfId="0" applyNumberForma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2" borderId="1" xfId="0" applyFill="1" applyBorder="1" applyProtection="1">
      <protection locked="0"/>
    </xf>
    <xf numFmtId="2" fontId="0" fillId="2" borderId="1" xfId="0" applyNumberFormat="1" applyFill="1" applyBorder="1" applyProtection="1">
      <protection locked="0"/>
    </xf>
    <xf numFmtId="0" fontId="0" fillId="0" borderId="1" xfId="0" applyBorder="1" applyProtection="1">
      <protection locked="0"/>
    </xf>
    <xf numFmtId="2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right"/>
    </xf>
    <xf numFmtId="0" fontId="0" fillId="0" borderId="2" xfId="0" applyBorder="1"/>
    <xf numFmtId="0" fontId="0" fillId="0" borderId="6" xfId="0" applyBorder="1"/>
    <xf numFmtId="165" fontId="0" fillId="0" borderId="0" xfId="0" applyNumberFormat="1"/>
    <xf numFmtId="0" fontId="3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66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0" fillId="3" borderId="5" xfId="0" applyFill="1" applyBorder="1" applyAlignment="1" applyProtection="1">
      <alignment horizontal="center" vertical="center"/>
      <protection locked="0"/>
    </xf>
    <xf numFmtId="0" fontId="0" fillId="0" borderId="0" xfId="0" applyProtection="1">
      <protection hidden="1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4" fillId="0" borderId="0" xfId="0" applyFont="1" applyProtection="1">
      <protection locked="0"/>
    </xf>
    <xf numFmtId="0" fontId="5" fillId="0" borderId="0" xfId="0" applyFont="1" applyAlignment="1">
      <alignment horizontal="center"/>
    </xf>
    <xf numFmtId="0" fontId="9" fillId="0" borderId="0" xfId="2"/>
    <xf numFmtId="9" fontId="9" fillId="0" borderId="0" xfId="2" applyNumberFormat="1"/>
    <xf numFmtId="0" fontId="9" fillId="0" borderId="0" xfId="2" applyAlignment="1">
      <alignment horizontal="left"/>
    </xf>
    <xf numFmtId="164" fontId="9" fillId="0" borderId="0" xfId="2" applyNumberFormat="1"/>
    <xf numFmtId="164" fontId="9" fillId="0" borderId="0" xfId="2" applyNumberFormat="1" applyAlignment="1">
      <alignment horizontal="center" vertical="center"/>
    </xf>
    <xf numFmtId="1" fontId="9" fillId="0" borderId="0" xfId="2" applyNumberFormat="1"/>
    <xf numFmtId="167" fontId="0" fillId="0" borderId="0" xfId="0" applyNumberFormat="1"/>
    <xf numFmtId="176" fontId="0" fillId="0" borderId="0" xfId="0" applyNumberFormat="1"/>
    <xf numFmtId="1" fontId="0" fillId="0" borderId="0" xfId="0" applyNumberFormat="1"/>
    <xf numFmtId="0" fontId="9" fillId="0" borderId="0" xfId="2" applyAlignment="1">
      <alignment horizontal="center" vertical="center"/>
    </xf>
    <xf numFmtId="2" fontId="0" fillId="0" borderId="0" xfId="0" applyNumberFormat="1"/>
    <xf numFmtId="164" fontId="0" fillId="0" borderId="0" xfId="0" applyNumberFormat="1"/>
    <xf numFmtId="3" fontId="0" fillId="0" borderId="1" xfId="0" applyNumberFormat="1" applyBorder="1"/>
    <xf numFmtId="0" fontId="9" fillId="0" borderId="0" xfId="2" applyAlignment="1">
      <alignment horizontal="center"/>
    </xf>
    <xf numFmtId="0" fontId="2" fillId="0" borderId="0" xfId="0" applyFont="1"/>
    <xf numFmtId="167" fontId="0" fillId="0" borderId="1" xfId="0" applyNumberFormat="1" applyBorder="1"/>
    <xf numFmtId="167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7" xfId="0" applyBorder="1"/>
    <xf numFmtId="0" fontId="6" fillId="0" borderId="40" xfId="0" applyFont="1" applyBorder="1"/>
    <xf numFmtId="1" fontId="0" fillId="0" borderId="1" xfId="0" applyNumberFormat="1" applyBorder="1" applyAlignment="1">
      <alignment horizontal="center" vertical="center"/>
    </xf>
    <xf numFmtId="0" fontId="4" fillId="0" borderId="0" xfId="0" applyFont="1" applyAlignment="1">
      <alignment horizontal="right" vertical="center"/>
    </xf>
    <xf numFmtId="164" fontId="0" fillId="0" borderId="1" xfId="0" applyNumberFormat="1" applyBorder="1" applyAlignment="1">
      <alignment horizontal="center" vertical="center"/>
    </xf>
    <xf numFmtId="3" fontId="0" fillId="0" borderId="0" xfId="0" applyNumberFormat="1"/>
    <xf numFmtId="0" fontId="0" fillId="6" borderId="1" xfId="0" applyFill="1" applyBorder="1"/>
    <xf numFmtId="3" fontId="0" fillId="0" borderId="1" xfId="0" applyNumberFormat="1" applyBorder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0" fontId="0" fillId="0" borderId="3" xfId="0" applyBorder="1"/>
    <xf numFmtId="0" fontId="4" fillId="0" borderId="0" xfId="0" applyFont="1" applyAlignment="1">
      <alignment horizontal="right"/>
    </xf>
    <xf numFmtId="9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17" fillId="0" borderId="0" xfId="0" applyFont="1" applyAlignment="1">
      <alignment horizontal="center"/>
    </xf>
    <xf numFmtId="167" fontId="9" fillId="0" borderId="0" xfId="2" applyNumberFormat="1"/>
    <xf numFmtId="2" fontId="9" fillId="0" borderId="0" xfId="2" applyNumberFormat="1"/>
    <xf numFmtId="9" fontId="0" fillId="0" borderId="0" xfId="3" applyFont="1" applyFill="1" applyBorder="1" applyAlignment="1">
      <alignment horizontal="left"/>
    </xf>
    <xf numFmtId="0" fontId="10" fillId="0" borderId="0" xfId="2" applyFont="1" applyAlignment="1">
      <alignment horizontal="right"/>
    </xf>
    <xf numFmtId="2" fontId="9" fillId="0" borderId="0" xfId="2" applyNumberFormat="1" applyAlignment="1">
      <alignment horizontal="center" vertical="center"/>
    </xf>
    <xf numFmtId="0" fontId="9" fillId="0" borderId="0" xfId="2" applyAlignment="1">
      <alignment horizontal="right" vertical="center" wrapText="1"/>
    </xf>
    <xf numFmtId="164" fontId="9" fillId="0" borderId="0" xfId="2" applyNumberFormat="1" applyAlignment="1">
      <alignment vertical="center"/>
    </xf>
    <xf numFmtId="0" fontId="10" fillId="0" borderId="0" xfId="2" applyFont="1" applyAlignment="1">
      <alignment horizontal="center" vertical="center" wrapText="1"/>
    </xf>
    <xf numFmtId="2" fontId="10" fillId="7" borderId="7" xfId="2" applyNumberFormat="1" applyFont="1" applyFill="1" applyBorder="1" applyAlignment="1">
      <alignment horizontal="center" vertical="center"/>
    </xf>
    <xf numFmtId="2" fontId="9" fillId="0" borderId="8" xfId="2" applyNumberFormat="1" applyBorder="1" applyAlignment="1">
      <alignment horizontal="center" vertical="center"/>
    </xf>
    <xf numFmtId="2" fontId="9" fillId="0" borderId="9" xfId="2" applyNumberFormat="1" applyBorder="1" applyAlignment="1">
      <alignment horizontal="center" vertical="center"/>
    </xf>
    <xf numFmtId="0" fontId="9" fillId="0" borderId="41" xfId="2" applyBorder="1" applyAlignment="1">
      <alignment horizontal="right" vertical="center" wrapText="1"/>
    </xf>
    <xf numFmtId="2" fontId="9" fillId="0" borderId="15" xfId="2" applyNumberFormat="1" applyBorder="1" applyAlignment="1">
      <alignment horizontal="center" vertical="center"/>
    </xf>
    <xf numFmtId="2" fontId="9" fillId="0" borderId="19" xfId="2" applyNumberFormat="1" applyBorder="1" applyAlignment="1">
      <alignment horizontal="center" vertical="center"/>
    </xf>
    <xf numFmtId="2" fontId="9" fillId="0" borderId="16" xfId="2" applyNumberFormat="1" applyBorder="1" applyAlignment="1">
      <alignment horizontal="center" vertical="center"/>
    </xf>
    <xf numFmtId="0" fontId="9" fillId="0" borderId="42" xfId="2" applyBorder="1" applyAlignment="1">
      <alignment horizontal="right" vertical="center" wrapText="1"/>
    </xf>
    <xf numFmtId="0" fontId="18" fillId="0" borderId="0" xfId="2" applyFont="1" applyAlignment="1">
      <alignment horizontal="left" vertical="center" wrapText="1"/>
    </xf>
    <xf numFmtId="9" fontId="0" fillId="0" borderId="10" xfId="3" applyFont="1" applyBorder="1" applyAlignment="1">
      <alignment horizontal="center" vertical="center"/>
    </xf>
    <xf numFmtId="9" fontId="0" fillId="0" borderId="1" xfId="3" applyFont="1" applyBorder="1" applyAlignment="1">
      <alignment horizontal="center" vertical="center"/>
    </xf>
    <xf numFmtId="9" fontId="0" fillId="0" borderId="11" xfId="3" applyFont="1" applyBorder="1" applyAlignment="1">
      <alignment horizontal="center" vertical="center"/>
    </xf>
    <xf numFmtId="0" fontId="9" fillId="0" borderId="43" xfId="2" applyBorder="1" applyAlignment="1">
      <alignment horizontal="right" vertical="center" wrapText="1"/>
    </xf>
    <xf numFmtId="167" fontId="9" fillId="0" borderId="10" xfId="2" applyNumberFormat="1" applyBorder="1" applyAlignment="1">
      <alignment horizontal="center" vertical="center"/>
    </xf>
    <xf numFmtId="167" fontId="9" fillId="0" borderId="1" xfId="2" applyNumberFormat="1" applyBorder="1" applyAlignment="1">
      <alignment horizontal="center" vertical="center"/>
    </xf>
    <xf numFmtId="167" fontId="9" fillId="0" borderId="11" xfId="2" applyNumberFormat="1" applyBorder="1" applyAlignment="1">
      <alignment horizontal="center" vertical="center"/>
    </xf>
    <xf numFmtId="167" fontId="9" fillId="7" borderId="12" xfId="2" applyNumberFormat="1" applyFill="1" applyBorder="1" applyAlignment="1">
      <alignment vertical="center"/>
    </xf>
    <xf numFmtId="0" fontId="10" fillId="0" borderId="14" xfId="2" applyFont="1" applyBorder="1" applyAlignment="1">
      <alignment horizontal="center" vertical="center" wrapText="1"/>
    </xf>
    <xf numFmtId="0" fontId="9" fillId="0" borderId="0" xfId="2" applyAlignment="1">
      <alignment horizontal="center" vertical="center" wrapText="1"/>
    </xf>
    <xf numFmtId="2" fontId="9" fillId="0" borderId="10" xfId="2" applyNumberFormat="1" applyBorder="1" applyAlignment="1">
      <alignment horizontal="center" vertical="center"/>
    </xf>
    <xf numFmtId="2" fontId="9" fillId="0" borderId="1" xfId="2" applyNumberFormat="1" applyBorder="1" applyAlignment="1">
      <alignment horizontal="center" vertical="center"/>
    </xf>
    <xf numFmtId="2" fontId="9" fillId="0" borderId="11" xfId="2" applyNumberFormat="1" applyBorder="1" applyAlignment="1">
      <alignment horizontal="center" vertical="center"/>
    </xf>
    <xf numFmtId="164" fontId="9" fillId="0" borderId="41" xfId="2" applyNumberFormat="1" applyBorder="1" applyAlignment="1">
      <alignment vertical="center"/>
    </xf>
    <xf numFmtId="0" fontId="10" fillId="0" borderId="44" xfId="2" applyFont="1" applyBorder="1" applyAlignment="1">
      <alignment horizontal="center" vertical="center" wrapText="1"/>
    </xf>
    <xf numFmtId="0" fontId="9" fillId="0" borderId="43" xfId="2" applyBorder="1" applyAlignment="1">
      <alignment horizontal="right" vertical="center"/>
    </xf>
    <xf numFmtId="164" fontId="9" fillId="0" borderId="43" xfId="2" applyNumberFormat="1" applyBorder="1" applyAlignment="1">
      <alignment vertical="center"/>
    </xf>
    <xf numFmtId="0" fontId="10" fillId="0" borderId="45" xfId="2" applyFont="1" applyBorder="1" applyAlignment="1">
      <alignment horizontal="center" vertical="center" wrapText="1"/>
    </xf>
    <xf numFmtId="0" fontId="9" fillId="0" borderId="0" xfId="2" applyAlignment="1">
      <alignment vertical="center"/>
    </xf>
    <xf numFmtId="0" fontId="9" fillId="0" borderId="43" xfId="2" applyBorder="1" applyAlignment="1">
      <alignment vertical="center"/>
    </xf>
    <xf numFmtId="0" fontId="10" fillId="0" borderId="45" xfId="2" applyFont="1" applyBorder="1" applyAlignment="1">
      <alignment horizontal="right" vertical="center"/>
    </xf>
    <xf numFmtId="0" fontId="9" fillId="0" borderId="10" xfId="2" applyBorder="1" applyAlignment="1">
      <alignment horizontal="center" vertical="center"/>
    </xf>
    <xf numFmtId="0" fontId="9" fillId="0" borderId="1" xfId="2" applyBorder="1" applyAlignment="1">
      <alignment horizontal="center" vertical="center"/>
    </xf>
    <xf numFmtId="0" fontId="9" fillId="0" borderId="11" xfId="2" applyBorder="1" applyAlignment="1">
      <alignment horizontal="center" vertical="center"/>
    </xf>
    <xf numFmtId="164" fontId="9" fillId="0" borderId="43" xfId="2" applyNumberFormat="1" applyBorder="1" applyAlignment="1">
      <alignment horizontal="right" vertical="center" wrapText="1"/>
    </xf>
    <xf numFmtId="3" fontId="9" fillId="0" borderId="43" xfId="2" applyNumberFormat="1" applyBorder="1" applyAlignment="1">
      <alignment vertical="center"/>
    </xf>
    <xf numFmtId="2" fontId="9" fillId="0" borderId="10" xfId="2" applyNumberFormat="1" applyBorder="1" applyAlignment="1">
      <alignment horizontal="center" vertical="center" shrinkToFit="1"/>
    </xf>
    <xf numFmtId="2" fontId="9" fillId="0" borderId="11" xfId="2" applyNumberFormat="1" applyBorder="1" applyAlignment="1">
      <alignment horizontal="center" vertical="center" shrinkToFit="1"/>
    </xf>
    <xf numFmtId="0" fontId="19" fillId="0" borderId="0" xfId="2" applyFont="1"/>
    <xf numFmtId="164" fontId="9" fillId="8" borderId="12" xfId="2" applyNumberFormat="1" applyFill="1" applyBorder="1" applyAlignment="1">
      <alignment horizontal="center" vertical="center"/>
    </xf>
    <xf numFmtId="0" fontId="9" fillId="0" borderId="13" xfId="2" applyBorder="1" applyAlignment="1">
      <alignment vertical="center"/>
    </xf>
    <xf numFmtId="164" fontId="9" fillId="8" borderId="13" xfId="2" applyNumberFormat="1" applyFill="1" applyBorder="1" applyAlignment="1">
      <alignment horizontal="center" vertical="center"/>
    </xf>
    <xf numFmtId="164" fontId="9" fillId="8" borderId="14" xfId="2" applyNumberFormat="1" applyFill="1" applyBorder="1" applyAlignment="1">
      <alignment horizontal="center" vertical="center"/>
    </xf>
    <xf numFmtId="0" fontId="9" fillId="0" borderId="46" xfId="2" applyBorder="1" applyAlignment="1">
      <alignment horizontal="right" vertical="center"/>
    </xf>
    <xf numFmtId="164" fontId="9" fillId="0" borderId="46" xfId="2" applyNumberFormat="1" applyBorder="1" applyAlignment="1">
      <alignment vertical="center"/>
    </xf>
    <xf numFmtId="0" fontId="10" fillId="0" borderId="47" xfId="2" applyFont="1" applyBorder="1" applyAlignment="1">
      <alignment horizontal="right" vertical="center"/>
    </xf>
    <xf numFmtId="164" fontId="9" fillId="0" borderId="48" xfId="2" applyNumberFormat="1" applyBorder="1" applyAlignment="1">
      <alignment horizontal="center"/>
    </xf>
    <xf numFmtId="0" fontId="9" fillId="0" borderId="30" xfId="2" applyBorder="1"/>
    <xf numFmtId="0" fontId="9" fillId="0" borderId="30" xfId="2" applyBorder="1" applyAlignment="1">
      <alignment horizontal="center"/>
    </xf>
    <xf numFmtId="164" fontId="9" fillId="0" borderId="21" xfId="2" applyNumberFormat="1" applyBorder="1" applyAlignment="1">
      <alignment horizontal="center"/>
    </xf>
    <xf numFmtId="0" fontId="9" fillId="0" borderId="35" xfId="2" applyBorder="1"/>
    <xf numFmtId="0" fontId="9" fillId="0" borderId="0" xfId="2" applyAlignment="1">
      <alignment horizontal="right"/>
    </xf>
    <xf numFmtId="0" fontId="9" fillId="0" borderId="0" xfId="2" applyProtection="1">
      <protection locked="0" hidden="1"/>
    </xf>
    <xf numFmtId="0" fontId="20" fillId="0" borderId="0" xfId="2" applyFont="1"/>
    <xf numFmtId="0" fontId="20" fillId="0" borderId="0" xfId="2" applyFont="1" applyProtection="1">
      <protection hidden="1"/>
    </xf>
    <xf numFmtId="164" fontId="20" fillId="0" borderId="0" xfId="2" applyNumberFormat="1" applyFont="1"/>
    <xf numFmtId="0" fontId="21" fillId="0" borderId="41" xfId="2" applyFont="1" applyBorder="1" applyAlignment="1">
      <alignment horizontal="right" vertical="center"/>
    </xf>
    <xf numFmtId="0" fontId="9" fillId="0" borderId="0" xfId="2" applyAlignment="1">
      <alignment horizontal="center" vertical="center" shrinkToFit="1"/>
    </xf>
    <xf numFmtId="3" fontId="9" fillId="0" borderId="0" xfId="2" applyNumberFormat="1"/>
    <xf numFmtId="0" fontId="10" fillId="0" borderId="43" xfId="2" applyFont="1" applyBorder="1" applyAlignment="1">
      <alignment horizontal="right" vertical="center"/>
    </xf>
    <xf numFmtId="2" fontId="9" fillId="0" borderId="0" xfId="2" applyNumberFormat="1" applyAlignment="1">
      <alignment horizontal="center"/>
    </xf>
    <xf numFmtId="3" fontId="9" fillId="0" borderId="0" xfId="2" applyNumberFormat="1" applyAlignment="1">
      <alignment horizontal="right"/>
    </xf>
    <xf numFmtId="3" fontId="9" fillId="8" borderId="49" xfId="2" applyNumberFormat="1" applyFill="1" applyBorder="1" applyProtection="1">
      <protection locked="0"/>
    </xf>
    <xf numFmtId="0" fontId="10" fillId="0" borderId="43" xfId="2" applyFont="1" applyBorder="1" applyAlignment="1">
      <alignment horizontal="right"/>
    </xf>
    <xf numFmtId="164" fontId="9" fillId="0" borderId="0" xfId="2" applyNumberFormat="1" applyAlignment="1">
      <alignment horizontal="right"/>
    </xf>
    <xf numFmtId="164" fontId="9" fillId="8" borderId="49" xfId="2" applyNumberFormat="1" applyFill="1" applyBorder="1" applyProtection="1">
      <protection locked="0"/>
    </xf>
    <xf numFmtId="167" fontId="9" fillId="0" borderId="0" xfId="2" applyNumberFormat="1" applyAlignment="1">
      <alignment horizontal="center"/>
    </xf>
    <xf numFmtId="2" fontId="9" fillId="8" borderId="50" xfId="2" applyNumberFormat="1" applyFill="1" applyBorder="1" applyProtection="1">
      <protection locked="0"/>
    </xf>
    <xf numFmtId="0" fontId="10" fillId="0" borderId="46" xfId="2" applyFont="1" applyBorder="1" applyAlignment="1">
      <alignment horizontal="right"/>
    </xf>
    <xf numFmtId="2" fontId="9" fillId="3" borderId="0" xfId="2" applyNumberFormat="1" applyFill="1" applyProtection="1">
      <protection locked="0"/>
    </xf>
    <xf numFmtId="0" fontId="10" fillId="0" borderId="0" xfId="2" applyFont="1" applyAlignment="1">
      <alignment horizontal="right" wrapText="1"/>
    </xf>
    <xf numFmtId="0" fontId="10" fillId="0" borderId="1" xfId="2" applyFont="1" applyBorder="1"/>
    <xf numFmtId="0" fontId="17" fillId="0" borderId="0" xfId="2" applyFont="1" applyAlignment="1">
      <alignment horizontal="center"/>
    </xf>
    <xf numFmtId="0" fontId="5" fillId="0" borderId="0" xfId="2" applyFont="1" applyAlignment="1">
      <alignment horizontal="center"/>
    </xf>
    <xf numFmtId="0" fontId="10" fillId="3" borderId="0" xfId="2" applyFont="1" applyFill="1" applyAlignment="1">
      <alignment horizontal="right"/>
    </xf>
    <xf numFmtId="0" fontId="9" fillId="3" borderId="0" xfId="2" applyFill="1" applyAlignment="1">
      <alignment horizontal="right"/>
    </xf>
    <xf numFmtId="0" fontId="9" fillId="3" borderId="0" xfId="2" applyFill="1"/>
    <xf numFmtId="0" fontId="10" fillId="3" borderId="0" xfId="2" applyFont="1" applyFill="1" applyAlignment="1">
      <alignment horizontal="right" wrapText="1"/>
    </xf>
    <xf numFmtId="2" fontId="9" fillId="3" borderId="0" xfId="2" applyNumberFormat="1" applyFill="1"/>
    <xf numFmtId="0" fontId="10" fillId="0" borderId="41" xfId="2" applyFont="1" applyBorder="1" applyAlignment="1">
      <alignment horizontal="right" vertical="center"/>
    </xf>
    <xf numFmtId="0" fontId="9" fillId="0" borderId="0" xfId="2" applyAlignment="1" applyProtection="1">
      <alignment horizontal="center"/>
      <protection locked="0" hidden="1"/>
    </xf>
    <xf numFmtId="0" fontId="10" fillId="0" borderId="46" xfId="2" applyFont="1" applyBorder="1" applyAlignment="1">
      <alignment horizontal="right" vertical="center"/>
    </xf>
    <xf numFmtId="0" fontId="9" fillId="0" borderId="51" xfId="2" applyBorder="1" applyAlignment="1">
      <alignment horizontal="right" vertical="center"/>
    </xf>
    <xf numFmtId="164" fontId="9" fillId="0" borderId="13" xfId="2" applyNumberFormat="1" applyBorder="1" applyAlignment="1">
      <alignment horizontal="center" vertical="center"/>
    </xf>
    <xf numFmtId="0" fontId="9" fillId="0" borderId="45" xfId="2" applyBorder="1" applyAlignment="1">
      <alignment horizontal="right" vertical="center" wrapText="1"/>
    </xf>
    <xf numFmtId="164" fontId="9" fillId="0" borderId="45" xfId="2" applyNumberFormat="1" applyBorder="1" applyAlignment="1">
      <alignment horizontal="right" vertical="center" wrapText="1"/>
    </xf>
    <xf numFmtId="0" fontId="9" fillId="0" borderId="43" xfId="2" applyBorder="1"/>
    <xf numFmtId="0" fontId="9" fillId="0" borderId="52" xfId="2" applyBorder="1" applyAlignment="1">
      <alignment vertical="center"/>
    </xf>
    <xf numFmtId="0" fontId="10" fillId="0" borderId="43" xfId="2" applyFont="1" applyBorder="1" applyAlignment="1">
      <alignment horizontal="center" vertical="center" wrapText="1"/>
    </xf>
    <xf numFmtId="0" fontId="9" fillId="0" borderId="45" xfId="2" applyBorder="1" applyAlignment="1">
      <alignment horizontal="right" vertical="center"/>
    </xf>
    <xf numFmtId="0" fontId="10" fillId="0" borderId="41" xfId="2" applyFont="1" applyBorder="1" applyAlignment="1">
      <alignment horizontal="center" vertical="center" wrapText="1"/>
    </xf>
    <xf numFmtId="164" fontId="9" fillId="0" borderId="53" xfId="2" applyNumberFormat="1" applyBorder="1" applyAlignment="1">
      <alignment vertical="center"/>
    </xf>
    <xf numFmtId="0" fontId="9" fillId="0" borderId="44" xfId="2" applyBorder="1" applyAlignment="1">
      <alignment horizontal="right" vertical="center" wrapText="1"/>
    </xf>
    <xf numFmtId="2" fontId="9" fillId="0" borderId="7" xfId="2" applyNumberFormat="1" applyBorder="1" applyAlignment="1">
      <alignment horizontal="center" vertical="center"/>
    </xf>
    <xf numFmtId="0" fontId="9" fillId="0" borderId="34" xfId="2" applyBorder="1"/>
    <xf numFmtId="0" fontId="9" fillId="0" borderId="54" xfId="2" applyBorder="1" applyAlignment="1">
      <alignment vertical="center"/>
    </xf>
    <xf numFmtId="0" fontId="28" fillId="0" borderId="1" xfId="4" applyFont="1" applyBorder="1"/>
    <xf numFmtId="0" fontId="6" fillId="0" borderId="2" xfId="4" applyFont="1" applyBorder="1"/>
    <xf numFmtId="2" fontId="27" fillId="0" borderId="0" xfId="4" applyNumberFormat="1"/>
    <xf numFmtId="2" fontId="27" fillId="0" borderId="0" xfId="4" applyNumberFormat="1" applyAlignment="1">
      <alignment horizontal="right"/>
    </xf>
    <xf numFmtId="4" fontId="27" fillId="0" borderId="0" xfId="4" applyNumberFormat="1" applyAlignment="1">
      <alignment horizontal="right"/>
    </xf>
    <xf numFmtId="176" fontId="27" fillId="0" borderId="0" xfId="4" applyNumberFormat="1" applyAlignment="1">
      <alignment horizontal="right"/>
    </xf>
    <xf numFmtId="2" fontId="27" fillId="0" borderId="0" xfId="4" applyNumberFormat="1" applyAlignment="1">
      <alignment horizontal="left"/>
    </xf>
    <xf numFmtId="49" fontId="27" fillId="0" borderId="0" xfId="4" applyNumberFormat="1" applyAlignment="1">
      <alignment horizontal="left"/>
    </xf>
    <xf numFmtId="2" fontId="26" fillId="0" borderId="0" xfId="4" applyNumberFormat="1" applyFont="1"/>
    <xf numFmtId="4" fontId="27" fillId="0" borderId="0" xfId="4" applyNumberFormat="1"/>
    <xf numFmtId="176" fontId="27" fillId="0" borderId="0" xfId="4" applyNumberFormat="1" applyAlignment="1">
      <alignment horizontal="left"/>
    </xf>
    <xf numFmtId="2" fontId="26" fillId="0" borderId="0" xfId="4" applyNumberFormat="1" applyFont="1" applyAlignment="1">
      <alignment horizontal="center"/>
    </xf>
    <xf numFmtId="176" fontId="27" fillId="0" borderId="0" xfId="4" applyNumberFormat="1"/>
    <xf numFmtId="2" fontId="29" fillId="0" borderId="0" xfId="4" applyNumberFormat="1" applyFont="1" applyAlignment="1">
      <alignment horizontal="right"/>
    </xf>
    <xf numFmtId="177" fontId="29" fillId="0" borderId="0" xfId="4" applyNumberFormat="1" applyFont="1" applyAlignment="1" applyProtection="1">
      <alignment horizontal="right"/>
      <protection locked="0"/>
    </xf>
    <xf numFmtId="4" fontId="29" fillId="0" borderId="0" xfId="4" applyNumberFormat="1" applyFont="1" applyAlignment="1" applyProtection="1">
      <alignment horizontal="right"/>
      <protection locked="0"/>
    </xf>
    <xf numFmtId="3" fontId="29" fillId="0" borderId="0" xfId="4" applyNumberFormat="1" applyFont="1" applyAlignment="1" applyProtection="1">
      <alignment horizontal="right"/>
      <protection locked="0"/>
    </xf>
    <xf numFmtId="2" fontId="30" fillId="0" borderId="0" xfId="4" applyNumberFormat="1" applyFont="1"/>
    <xf numFmtId="3" fontId="30" fillId="0" borderId="0" xfId="4" applyNumberFormat="1" applyFont="1" applyAlignment="1">
      <alignment horizontal="left"/>
    </xf>
    <xf numFmtId="2" fontId="31" fillId="0" borderId="0" xfId="4" applyNumberFormat="1" applyFont="1" applyAlignment="1">
      <alignment horizontal="right"/>
    </xf>
    <xf numFmtId="176" fontId="32" fillId="0" borderId="0" xfId="4" applyNumberFormat="1" applyFont="1" applyAlignment="1">
      <alignment horizontal="left"/>
    </xf>
    <xf numFmtId="2" fontId="32" fillId="0" borderId="0" xfId="4" applyNumberFormat="1" applyFont="1" applyAlignment="1">
      <alignment horizontal="right"/>
    </xf>
    <xf numFmtId="2" fontId="32" fillId="0" borderId="0" xfId="4" applyNumberFormat="1" applyFont="1"/>
    <xf numFmtId="4" fontId="29" fillId="0" borderId="0" xfId="4" applyNumberFormat="1" applyFont="1" applyAlignment="1">
      <alignment horizontal="right"/>
    </xf>
    <xf numFmtId="2" fontId="33" fillId="0" borderId="0" xfId="4" applyNumberFormat="1" applyFont="1" applyAlignment="1">
      <alignment horizontal="right"/>
    </xf>
    <xf numFmtId="2" fontId="29" fillId="0" borderId="0" xfId="4" applyNumberFormat="1" applyFont="1"/>
    <xf numFmtId="4" fontId="29" fillId="0" borderId="0" xfId="4" applyNumberFormat="1" applyFont="1"/>
    <xf numFmtId="4" fontId="26" fillId="0" borderId="0" xfId="4" applyNumberFormat="1" applyFont="1" applyAlignment="1">
      <alignment horizontal="left"/>
    </xf>
    <xf numFmtId="4" fontId="33" fillId="0" borderId="0" xfId="4" applyNumberFormat="1" applyFont="1" applyAlignment="1">
      <alignment horizontal="right"/>
    </xf>
    <xf numFmtId="1" fontId="33" fillId="0" borderId="0" xfId="4" applyNumberFormat="1" applyFont="1" applyAlignment="1">
      <alignment horizontal="right"/>
    </xf>
    <xf numFmtId="3" fontId="33" fillId="0" borderId="0" xfId="4" applyNumberFormat="1" applyFont="1" applyAlignment="1">
      <alignment horizontal="right"/>
    </xf>
    <xf numFmtId="2" fontId="26" fillId="0" borderId="0" xfId="4" applyNumberFormat="1" applyFont="1" applyAlignment="1">
      <alignment horizontal="left"/>
    </xf>
    <xf numFmtId="0" fontId="36" fillId="0" borderId="0" xfId="0" applyFont="1" applyAlignment="1">
      <alignment horizontal="center"/>
    </xf>
    <xf numFmtId="0" fontId="0" fillId="0" borderId="0" xfId="0" applyAlignment="1">
      <alignment horizontal="left" vertical="top"/>
    </xf>
    <xf numFmtId="0" fontId="0" fillId="0" borderId="0" xfId="0" applyAlignment="1">
      <alignment vertical="center"/>
    </xf>
    <xf numFmtId="0" fontId="3" fillId="0" borderId="13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2" fontId="0" fillId="0" borderId="11" xfId="0" applyNumberFormat="1" applyBorder="1" applyAlignment="1">
      <alignment horizontal="center" vertical="center"/>
    </xf>
    <xf numFmtId="164" fontId="0" fillId="0" borderId="10" xfId="0" applyNumberFormat="1" applyBorder="1" applyAlignment="1">
      <alignment horizontal="center" vertical="center"/>
    </xf>
    <xf numFmtId="0" fontId="37" fillId="0" borderId="1" xfId="0" applyFont="1" applyBorder="1"/>
    <xf numFmtId="0" fontId="0" fillId="0" borderId="11" xfId="0" applyBorder="1" applyAlignment="1">
      <alignment horizontal="center" vertical="center"/>
    </xf>
    <xf numFmtId="0" fontId="38" fillId="0" borderId="0" xfId="0" applyFont="1"/>
    <xf numFmtId="0" fontId="6" fillId="0" borderId="0" xfId="0" applyFont="1" applyAlignment="1">
      <alignment horizontal="center" vertical="center"/>
    </xf>
    <xf numFmtId="0" fontId="17" fillId="0" borderId="0" xfId="0" applyFont="1"/>
    <xf numFmtId="0" fontId="39" fillId="0" borderId="0" xfId="0" applyFont="1"/>
    <xf numFmtId="0" fontId="40" fillId="10" borderId="1" xfId="0" applyFont="1" applyFill="1" applyBorder="1" applyAlignment="1" applyProtection="1">
      <alignment horizontal="center" vertical="center"/>
      <protection locked="0"/>
    </xf>
    <xf numFmtId="164" fontId="40" fillId="10" borderId="1" xfId="0" applyNumberFormat="1" applyFont="1" applyFill="1" applyBorder="1" applyAlignment="1" applyProtection="1">
      <alignment horizontal="center" vertical="center"/>
      <protection locked="0"/>
    </xf>
    <xf numFmtId="178" fontId="40" fillId="10" borderId="1" xfId="0" applyNumberFormat="1" applyFont="1" applyFill="1" applyBorder="1" applyAlignment="1" applyProtection="1">
      <alignment horizontal="center" vertical="center"/>
      <protection locked="0"/>
    </xf>
    <xf numFmtId="0" fontId="15" fillId="0" borderId="1" xfId="0" applyFont="1" applyBorder="1" applyAlignment="1" applyProtection="1">
      <alignment horizontal="center" vertical="center"/>
      <protection locked="0"/>
    </xf>
    <xf numFmtId="178" fontId="15" fillId="0" borderId="1" xfId="0" applyNumberFormat="1" applyFont="1" applyBorder="1" applyAlignment="1" applyProtection="1">
      <alignment horizontal="center" vertical="center"/>
      <protection hidden="1"/>
    </xf>
    <xf numFmtId="0" fontId="0" fillId="0" borderId="55" xfId="0" applyBorder="1"/>
    <xf numFmtId="0" fontId="0" fillId="9" borderId="6" xfId="0" applyFill="1" applyBorder="1"/>
    <xf numFmtId="0" fontId="0" fillId="9" borderId="1" xfId="0" applyFill="1" applyBorder="1"/>
    <xf numFmtId="1" fontId="0" fillId="0" borderId="1" xfId="0" applyNumberFormat="1" applyBorder="1" applyProtection="1">
      <protection hidden="1"/>
    </xf>
    <xf numFmtId="0" fontId="39" fillId="0" borderId="0" xfId="0" applyFont="1" applyAlignment="1" applyProtection="1">
      <alignment horizontal="left" vertical="top"/>
      <protection hidden="1"/>
    </xf>
    <xf numFmtId="167" fontId="0" fillId="0" borderId="1" xfId="0" applyNumberFormat="1" applyBorder="1" applyProtection="1">
      <protection hidden="1"/>
    </xf>
    <xf numFmtId="0" fontId="0" fillId="0" borderId="1" xfId="0" applyBorder="1" applyAlignment="1" applyProtection="1">
      <alignment horizontal="right"/>
      <protection hidden="1"/>
    </xf>
    <xf numFmtId="0" fontId="39" fillId="0" borderId="0" xfId="0" applyFont="1" applyProtection="1">
      <protection hidden="1"/>
    </xf>
    <xf numFmtId="164" fontId="0" fillId="0" borderId="1" xfId="0" applyNumberFormat="1" applyBorder="1" applyProtection="1">
      <protection hidden="1"/>
    </xf>
    <xf numFmtId="0" fontId="0" fillId="0" borderId="0" xfId="0" applyAlignment="1" applyProtection="1">
      <alignment horizontal="center" vertical="center"/>
      <protection hidden="1"/>
    </xf>
    <xf numFmtId="167" fontId="0" fillId="0" borderId="1" xfId="0" applyNumberFormat="1" applyBorder="1" applyAlignment="1" applyProtection="1">
      <alignment horizontal="right"/>
      <protection hidden="1"/>
    </xf>
    <xf numFmtId="0" fontId="0" fillId="0" borderId="1" xfId="0" applyBorder="1" applyProtection="1">
      <protection hidden="1"/>
    </xf>
    <xf numFmtId="2" fontId="0" fillId="0" borderId="1" xfId="0" applyNumberFormat="1" applyBorder="1" applyProtection="1">
      <protection hidden="1"/>
    </xf>
    <xf numFmtId="164" fontId="0" fillId="0" borderId="1" xfId="0" applyNumberFormat="1" applyBorder="1" applyAlignment="1" applyProtection="1">
      <alignment horizontal="right"/>
      <protection hidden="1"/>
    </xf>
    <xf numFmtId="0" fontId="0" fillId="0" borderId="9" xfId="0" applyBorder="1" applyAlignment="1">
      <alignment horizontal="center" vertical="center"/>
    </xf>
    <xf numFmtId="1" fontId="0" fillId="0" borderId="8" xfId="0" applyNumberFormat="1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0" fontId="42" fillId="0" borderId="0" xfId="0" applyFont="1"/>
    <xf numFmtId="164" fontId="0" fillId="0" borderId="0" xfId="0" applyNumberFormat="1" applyAlignment="1">
      <alignment horizontal="left" vertical="top"/>
    </xf>
    <xf numFmtId="2" fontId="0" fillId="0" borderId="0" xfId="0" applyNumberFormat="1" applyAlignment="1">
      <alignment horizontal="left" vertical="top"/>
    </xf>
    <xf numFmtId="0" fontId="44" fillId="0" borderId="0" xfId="5" applyFont="1"/>
    <xf numFmtId="0" fontId="45" fillId="0" borderId="0" xfId="5" applyFont="1"/>
    <xf numFmtId="0" fontId="46" fillId="0" borderId="0" xfId="5" applyFont="1"/>
    <xf numFmtId="0" fontId="15" fillId="0" borderId="0" xfId="5" applyFont="1" applyAlignment="1">
      <alignment horizontal="left"/>
    </xf>
    <xf numFmtId="0" fontId="15" fillId="0" borderId="0" xfId="5" applyFont="1" applyAlignment="1">
      <alignment horizontal="right"/>
    </xf>
    <xf numFmtId="0" fontId="45" fillId="0" borderId="0" xfId="5" applyFont="1" applyAlignment="1">
      <alignment horizontal="left" vertical="center"/>
    </xf>
    <xf numFmtId="0" fontId="0" fillId="0" borderId="0" xfId="0" applyAlignment="1" applyProtection="1">
      <alignment horizontal="left" vertical="top"/>
      <protection hidden="1"/>
    </xf>
    <xf numFmtId="0" fontId="43" fillId="0" borderId="0" xfId="5"/>
    <xf numFmtId="0" fontId="47" fillId="0" borderId="0" xfId="5" applyFont="1" applyAlignment="1">
      <alignment horizontal="left" vertical="center"/>
    </xf>
    <xf numFmtId="2" fontId="0" fillId="0" borderId="0" xfId="0" applyNumberFormat="1" applyAlignment="1" applyProtection="1">
      <alignment horizontal="left" vertical="top"/>
      <protection hidden="1"/>
    </xf>
    <xf numFmtId="0" fontId="48" fillId="0" borderId="0" xfId="5" applyFont="1" applyAlignment="1">
      <alignment horizontal="left"/>
    </xf>
    <xf numFmtId="1" fontId="0" fillId="0" borderId="1" xfId="0" applyNumberFormat="1" applyBorder="1"/>
    <xf numFmtId="0" fontId="46" fillId="0" borderId="0" xfId="5" applyFont="1" applyAlignment="1">
      <alignment horizontal="left"/>
    </xf>
    <xf numFmtId="179" fontId="48" fillId="0" borderId="0" xfId="5" applyNumberFormat="1" applyFont="1" applyAlignment="1">
      <alignment horizontal="center"/>
    </xf>
    <xf numFmtId="1" fontId="48" fillId="0" borderId="0" xfId="5" applyNumberFormat="1" applyFont="1" applyAlignment="1">
      <alignment horizontal="center"/>
    </xf>
    <xf numFmtId="2" fontId="48" fillId="0" borderId="0" xfId="6" applyNumberFormat="1" applyFont="1" applyAlignment="1" applyProtection="1">
      <alignment horizontal="center"/>
    </xf>
    <xf numFmtId="164" fontId="48" fillId="0" borderId="0" xfId="5" applyNumberFormat="1" applyFont="1" applyAlignment="1">
      <alignment horizontal="center"/>
    </xf>
    <xf numFmtId="39" fontId="48" fillId="0" borderId="0" xfId="5" applyNumberFormat="1" applyFont="1" applyAlignment="1">
      <alignment horizontal="center"/>
    </xf>
    <xf numFmtId="180" fontId="48" fillId="0" borderId="0" xfId="5" applyNumberFormat="1" applyFont="1" applyAlignment="1">
      <alignment horizontal="center"/>
    </xf>
    <xf numFmtId="0" fontId="48" fillId="0" borderId="0" xfId="5" applyFont="1" applyAlignment="1">
      <alignment horizontal="center"/>
    </xf>
    <xf numFmtId="0" fontId="48" fillId="0" borderId="0" xfId="5" applyFont="1" applyAlignment="1">
      <alignment horizontal="right"/>
    </xf>
    <xf numFmtId="165" fontId="48" fillId="0" borderId="0" xfId="5" applyNumberFormat="1" applyFont="1" applyAlignment="1">
      <alignment horizontal="center"/>
    </xf>
    <xf numFmtId="167" fontId="48" fillId="0" borderId="0" xfId="5" applyNumberFormat="1" applyFont="1" applyAlignment="1">
      <alignment horizontal="center"/>
    </xf>
    <xf numFmtId="0" fontId="49" fillId="0" borderId="0" xfId="5" applyFont="1" applyAlignment="1">
      <alignment horizontal="center"/>
    </xf>
    <xf numFmtId="179" fontId="46" fillId="0" borderId="0" xfId="5" applyNumberFormat="1" applyFont="1" applyAlignment="1">
      <alignment horizontal="center"/>
    </xf>
    <xf numFmtId="0" fontId="50" fillId="0" borderId="28" xfId="0" applyFont="1" applyBorder="1"/>
    <xf numFmtId="0" fontId="51" fillId="0" borderId="27" xfId="0" applyFont="1" applyBorder="1"/>
    <xf numFmtId="0" fontId="51" fillId="0" borderId="0" xfId="0" applyFont="1"/>
    <xf numFmtId="0" fontId="52" fillId="0" borderId="56" xfId="0" applyFont="1" applyBorder="1"/>
    <xf numFmtId="0" fontId="52" fillId="0" borderId="0" xfId="0" applyFont="1" applyAlignment="1">
      <alignment horizontal="left"/>
    </xf>
    <xf numFmtId="0" fontId="51" fillId="0" borderId="24" xfId="0" applyFont="1" applyBorder="1"/>
    <xf numFmtId="0" fontId="51" fillId="0" borderId="23" xfId="0" applyFont="1" applyBorder="1"/>
    <xf numFmtId="0" fontId="52" fillId="0" borderId="0" xfId="0" applyFont="1"/>
    <xf numFmtId="0" fontId="51" fillId="0" borderId="57" xfId="0" applyFont="1" applyBorder="1"/>
    <xf numFmtId="0" fontId="54" fillId="0" borderId="58" xfId="0" applyFont="1" applyBorder="1"/>
    <xf numFmtId="0" fontId="51" fillId="0" borderId="58" xfId="0" applyFont="1" applyBorder="1"/>
    <xf numFmtId="0" fontId="51" fillId="0" borderId="59" xfId="0" applyFont="1" applyBorder="1"/>
    <xf numFmtId="0" fontId="0" fillId="0" borderId="60" xfId="0" applyBorder="1"/>
    <xf numFmtId="0" fontId="51" fillId="0" borderId="61" xfId="0" applyFont="1" applyBorder="1"/>
    <xf numFmtId="0" fontId="51" fillId="0" borderId="62" xfId="0" applyFont="1" applyBorder="1"/>
    <xf numFmtId="0" fontId="51" fillId="0" borderId="63" xfId="0" applyFont="1" applyBorder="1"/>
    <xf numFmtId="0" fontId="51" fillId="0" borderId="64" xfId="0" applyFont="1" applyBorder="1"/>
    <xf numFmtId="0" fontId="51" fillId="0" borderId="63" xfId="0" applyFont="1" applyBorder="1" applyAlignment="1">
      <alignment horizontal="center"/>
    </xf>
    <xf numFmtId="167" fontId="56" fillId="8" borderId="63" xfId="0" applyNumberFormat="1" applyFont="1" applyFill="1" applyBorder="1" applyAlignment="1">
      <alignment horizontal="center"/>
    </xf>
    <xf numFmtId="176" fontId="56" fillId="0" borderId="63" xfId="0" applyNumberFormat="1" applyFont="1" applyBorder="1" applyAlignment="1">
      <alignment horizontal="center"/>
    </xf>
    <xf numFmtId="167" fontId="51" fillId="0" borderId="63" xfId="0" applyNumberFormat="1" applyFont="1" applyBorder="1" applyAlignment="1">
      <alignment horizontal="center"/>
    </xf>
    <xf numFmtId="1" fontId="56" fillId="8" borderId="63" xfId="0" applyNumberFormat="1" applyFont="1" applyFill="1" applyBorder="1" applyAlignment="1">
      <alignment horizontal="center"/>
    </xf>
    <xf numFmtId="1" fontId="51" fillId="0" borderId="63" xfId="0" applyNumberFormat="1" applyFont="1" applyBorder="1" applyAlignment="1">
      <alignment horizontal="center"/>
    </xf>
    <xf numFmtId="0" fontId="0" fillId="0" borderId="65" xfId="0" applyBorder="1"/>
    <xf numFmtId="0" fontId="51" fillId="0" borderId="66" xfId="0" applyFont="1" applyBorder="1"/>
    <xf numFmtId="176" fontId="51" fillId="0" borderId="66" xfId="0" applyNumberFormat="1" applyFont="1" applyBorder="1"/>
    <xf numFmtId="167" fontId="51" fillId="0" borderId="66" xfId="0" applyNumberFormat="1" applyFont="1" applyBorder="1"/>
    <xf numFmtId="1" fontId="51" fillId="0" borderId="66" xfId="0" applyNumberFormat="1" applyFont="1" applyBorder="1"/>
    <xf numFmtId="0" fontId="51" fillId="0" borderId="67" xfId="0" applyFont="1" applyBorder="1"/>
    <xf numFmtId="0" fontId="0" fillId="0" borderId="57" xfId="0" applyBorder="1"/>
    <xf numFmtId="0" fontId="0" fillId="0" borderId="68" xfId="0" applyBorder="1"/>
    <xf numFmtId="0" fontId="52" fillId="11" borderId="0" xfId="0" applyFont="1" applyFill="1"/>
    <xf numFmtId="0" fontId="51" fillId="11" borderId="0" xfId="0" applyFont="1" applyFill="1"/>
    <xf numFmtId="0" fontId="51" fillId="0" borderId="60" xfId="0" applyFont="1" applyBorder="1"/>
    <xf numFmtId="0" fontId="51" fillId="0" borderId="68" xfId="0" applyFont="1" applyBorder="1"/>
    <xf numFmtId="0" fontId="52" fillId="8" borderId="0" xfId="0" applyFont="1" applyFill="1"/>
    <xf numFmtId="0" fontId="51" fillId="8" borderId="0" xfId="0" applyFont="1" applyFill="1"/>
    <xf numFmtId="0" fontId="51" fillId="8" borderId="61" xfId="0" applyFont="1" applyFill="1" applyBorder="1"/>
    <xf numFmtId="164" fontId="56" fillId="8" borderId="69" xfId="0" applyNumberFormat="1" applyFont="1" applyFill="1" applyBorder="1" applyAlignment="1">
      <alignment horizontal="center"/>
    </xf>
    <xf numFmtId="0" fontId="56" fillId="11" borderId="70" xfId="0" applyFont="1" applyFill="1" applyBorder="1" applyAlignment="1">
      <alignment horizontal="center"/>
    </xf>
    <xf numFmtId="1" fontId="51" fillId="0" borderId="70" xfId="0" applyNumberFormat="1" applyFont="1" applyBorder="1" applyAlignment="1">
      <alignment horizontal="center"/>
    </xf>
    <xf numFmtId="0" fontId="56" fillId="0" borderId="71" xfId="0" applyFont="1" applyBorder="1"/>
    <xf numFmtId="0" fontId="51" fillId="0" borderId="71" xfId="0" applyFont="1" applyBorder="1"/>
    <xf numFmtId="176" fontId="51" fillId="0" borderId="58" xfId="0" applyNumberFormat="1" applyFont="1" applyBorder="1"/>
    <xf numFmtId="0" fontId="54" fillId="0" borderId="0" xfId="0" applyFont="1"/>
    <xf numFmtId="176" fontId="51" fillId="0" borderId="0" xfId="0" applyNumberFormat="1" applyFont="1"/>
    <xf numFmtId="176" fontId="51" fillId="11" borderId="0" xfId="0" applyNumberFormat="1" applyFont="1" applyFill="1"/>
    <xf numFmtId="0" fontId="51" fillId="11" borderId="61" xfId="0" applyFont="1" applyFill="1" applyBorder="1"/>
    <xf numFmtId="0" fontId="56" fillId="11" borderId="69" xfId="0" applyFont="1" applyFill="1" applyBorder="1" applyAlignment="1">
      <alignment horizontal="center"/>
    </xf>
    <xf numFmtId="0" fontId="11" fillId="0" borderId="61" xfId="0" applyFont="1" applyBorder="1"/>
    <xf numFmtId="0" fontId="56" fillId="0" borderId="71" xfId="0" applyFont="1" applyBorder="1" applyAlignment="1">
      <alignment horizontal="center"/>
    </xf>
    <xf numFmtId="0" fontId="0" fillId="0" borderId="71" xfId="0" applyBorder="1"/>
    <xf numFmtId="0" fontId="11" fillId="0" borderId="67" xfId="0" applyFont="1" applyBorder="1"/>
    <xf numFmtId="0" fontId="52" fillId="0" borderId="58" xfId="0" applyFont="1" applyBorder="1"/>
    <xf numFmtId="49" fontId="51" fillId="0" borderId="58" xfId="0" applyNumberFormat="1" applyFont="1" applyBorder="1" applyAlignment="1">
      <alignment shrinkToFit="1"/>
    </xf>
    <xf numFmtId="0" fontId="51" fillId="0" borderId="0" xfId="0" applyFont="1" applyAlignment="1">
      <alignment horizontal="right" vertical="center"/>
    </xf>
    <xf numFmtId="1" fontId="51" fillId="0" borderId="0" xfId="0" applyNumberFormat="1" applyFont="1" applyAlignment="1">
      <alignment horizontal="center" vertical="center"/>
    </xf>
    <xf numFmtId="1" fontId="51" fillId="0" borderId="61" xfId="0" applyNumberFormat="1" applyFont="1" applyBorder="1" applyAlignment="1">
      <alignment horizontal="center" vertical="center"/>
    </xf>
    <xf numFmtId="0" fontId="51" fillId="0" borderId="65" xfId="0" applyFont="1" applyBorder="1"/>
    <xf numFmtId="0" fontId="51" fillId="0" borderId="71" xfId="0" applyFont="1" applyBorder="1" applyAlignment="1">
      <alignment horizontal="right" vertical="center"/>
    </xf>
    <xf numFmtId="0" fontId="52" fillId="0" borderId="71" xfId="0" applyFont="1" applyBorder="1" applyAlignment="1">
      <alignment horizontal="center"/>
    </xf>
    <xf numFmtId="0" fontId="52" fillId="12" borderId="58" xfId="0" applyFont="1" applyFill="1" applyBorder="1"/>
    <xf numFmtId="0" fontId="51" fillId="12" borderId="58" xfId="0" applyFont="1" applyFill="1" applyBorder="1"/>
    <xf numFmtId="0" fontId="51" fillId="12" borderId="59" xfId="0" applyFont="1" applyFill="1" applyBorder="1"/>
    <xf numFmtId="0" fontId="51" fillId="0" borderId="59" xfId="0" applyFont="1" applyBorder="1" applyAlignment="1">
      <alignment horizontal="left"/>
    </xf>
    <xf numFmtId="0" fontId="56" fillId="0" borderId="0" xfId="0" applyFont="1" applyAlignment="1">
      <alignment wrapText="1"/>
    </xf>
    <xf numFmtId="0" fontId="51" fillId="12" borderId="0" xfId="0" applyFont="1" applyFill="1"/>
    <xf numFmtId="3" fontId="52" fillId="12" borderId="61" xfId="0" applyNumberFormat="1" applyFont="1" applyFill="1" applyBorder="1"/>
    <xf numFmtId="0" fontId="51" fillId="12" borderId="61" xfId="0" applyFont="1" applyFill="1" applyBorder="1" applyAlignment="1">
      <alignment horizontal="left"/>
    </xf>
    <xf numFmtId="0" fontId="56" fillId="0" borderId="0" xfId="0" applyFont="1"/>
    <xf numFmtId="0" fontId="52" fillId="12" borderId="0" xfId="0" applyFont="1" applyFill="1"/>
    <xf numFmtId="0" fontId="51" fillId="12" borderId="61" xfId="0" applyFont="1" applyFill="1" applyBorder="1"/>
    <xf numFmtId="0" fontId="51" fillId="0" borderId="72" xfId="0" applyFont="1" applyBorder="1"/>
    <xf numFmtId="0" fontId="52" fillId="12" borderId="0" xfId="0" applyFont="1" applyFill="1" applyAlignment="1">
      <alignment horizontal="right"/>
    </xf>
    <xf numFmtId="181" fontId="46" fillId="0" borderId="0" xfId="5" applyNumberFormat="1" applyFont="1" applyAlignment="1">
      <alignment horizontal="center"/>
    </xf>
    <xf numFmtId="0" fontId="46" fillId="0" borderId="0" xfId="5" applyFont="1" applyAlignment="1">
      <alignment horizontal="center"/>
    </xf>
    <xf numFmtId="2" fontId="48" fillId="0" borderId="0" xfId="5" applyNumberFormat="1" applyFont="1" applyAlignment="1">
      <alignment horizontal="center"/>
    </xf>
    <xf numFmtId="165" fontId="48" fillId="0" borderId="0" xfId="6" applyNumberFormat="1" applyFont="1" applyAlignment="1" applyProtection="1">
      <alignment horizontal="center"/>
    </xf>
    <xf numFmtId="39" fontId="48" fillId="0" borderId="0" xfId="5" applyNumberFormat="1" applyFont="1" applyAlignment="1">
      <alignment horizontal="right"/>
    </xf>
    <xf numFmtId="2" fontId="48" fillId="0" borderId="0" xfId="5" applyNumberFormat="1" applyFont="1" applyAlignment="1">
      <alignment horizontal="right"/>
    </xf>
    <xf numFmtId="179" fontId="48" fillId="0" borderId="0" xfId="5" applyNumberFormat="1" applyFont="1" applyAlignment="1">
      <alignment horizontal="right"/>
    </xf>
    <xf numFmtId="2" fontId="48" fillId="0" borderId="0" xfId="6" applyNumberFormat="1" applyFont="1" applyFill="1" applyAlignment="1" applyProtection="1">
      <alignment horizontal="center"/>
    </xf>
    <xf numFmtId="6" fontId="46" fillId="0" borderId="0" xfId="5" applyNumberFormat="1" applyFont="1" applyAlignment="1">
      <alignment horizontal="left"/>
    </xf>
    <xf numFmtId="181" fontId="48" fillId="0" borderId="0" xfId="5" applyNumberFormat="1" applyFont="1" applyAlignment="1">
      <alignment horizontal="right"/>
    </xf>
    <xf numFmtId="181" fontId="48" fillId="0" borderId="0" xfId="6" applyNumberFormat="1" applyFont="1" applyAlignment="1" applyProtection="1">
      <alignment horizontal="right"/>
    </xf>
    <xf numFmtId="164" fontId="48" fillId="0" borderId="0" xfId="5" applyNumberFormat="1" applyFont="1" applyAlignment="1">
      <alignment horizontal="right"/>
    </xf>
    <xf numFmtId="180" fontId="48" fillId="0" borderId="0" xfId="5" applyNumberFormat="1" applyFont="1" applyAlignment="1">
      <alignment horizontal="right"/>
    </xf>
    <xf numFmtId="181" fontId="48" fillId="0" borderId="0" xfId="5" applyNumberFormat="1" applyFont="1" applyAlignment="1">
      <alignment horizontal="center"/>
    </xf>
    <xf numFmtId="180" fontId="46" fillId="0" borderId="0" xfId="5" applyNumberFormat="1" applyFont="1" applyAlignment="1">
      <alignment horizontal="center"/>
    </xf>
    <xf numFmtId="0" fontId="0" fillId="0" borderId="35" xfId="0" applyBorder="1"/>
    <xf numFmtId="2" fontId="0" fillId="0" borderId="35" xfId="0" applyNumberFormat="1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1" fontId="0" fillId="0" borderId="40" xfId="0" applyNumberFormat="1" applyBorder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1" fontId="0" fillId="0" borderId="17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64" fontId="0" fillId="0" borderId="5" xfId="0" applyNumberFormat="1" applyBorder="1" applyAlignment="1">
      <alignment horizontal="center" vertical="center"/>
    </xf>
    <xf numFmtId="1" fontId="0" fillId="0" borderId="73" xfId="0" applyNumberFormat="1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74" xfId="0" applyBorder="1" applyAlignment="1">
      <alignment horizontal="center" vertical="center"/>
    </xf>
    <xf numFmtId="0" fontId="36" fillId="0" borderId="0" xfId="0" applyFont="1"/>
    <xf numFmtId="0" fontId="14" fillId="0" borderId="0" xfId="0" applyFont="1"/>
    <xf numFmtId="178" fontId="0" fillId="0" borderId="1" xfId="0" applyNumberFormat="1" applyBorder="1" applyAlignment="1">
      <alignment horizontal="center" vertical="center"/>
    </xf>
    <xf numFmtId="165" fontId="15" fillId="0" borderId="1" xfId="0" applyNumberFormat="1" applyFont="1" applyBorder="1" applyAlignment="1">
      <alignment horizontal="center" vertical="center"/>
    </xf>
    <xf numFmtId="2" fontId="15" fillId="0" borderId="1" xfId="0" applyNumberFormat="1" applyFont="1" applyBorder="1" applyAlignment="1">
      <alignment horizontal="center" vertical="center"/>
    </xf>
    <xf numFmtId="0" fontId="39" fillId="0" borderId="0" xfId="0" applyFont="1" applyAlignment="1">
      <alignment horizontal="left" vertical="top"/>
    </xf>
    <xf numFmtId="164" fontId="0" fillId="0" borderId="1" xfId="0" applyNumberFormat="1" applyBorder="1"/>
    <xf numFmtId="167" fontId="0" fillId="0" borderId="1" xfId="0" applyNumberFormat="1" applyBorder="1" applyAlignment="1">
      <alignment horizontal="right"/>
    </xf>
    <xf numFmtId="1" fontId="0" fillId="0" borderId="6" xfId="0" applyNumberFormat="1" applyBorder="1"/>
    <xf numFmtId="164" fontId="0" fillId="0" borderId="1" xfId="0" applyNumberFormat="1" applyBorder="1" applyAlignment="1">
      <alignment horizontal="right"/>
    </xf>
    <xf numFmtId="0" fontId="47" fillId="0" borderId="0" xfId="5" applyFont="1" applyAlignment="1">
      <alignment horizontal="left"/>
    </xf>
    <xf numFmtId="0" fontId="58" fillId="0" borderId="0" xfId="5" applyFont="1" applyAlignment="1">
      <alignment horizontal="right"/>
    </xf>
    <xf numFmtId="0" fontId="0" fillId="13" borderId="1" xfId="0" applyFill="1" applyBorder="1"/>
    <xf numFmtId="1" fontId="0" fillId="13" borderId="1" xfId="0" applyNumberFormat="1" applyFill="1" applyBorder="1"/>
    <xf numFmtId="39" fontId="48" fillId="0" borderId="0" xfId="5" applyNumberFormat="1" applyFont="1" applyAlignment="1">
      <alignment horizontal="center" vertical="center"/>
    </xf>
    <xf numFmtId="2" fontId="48" fillId="0" borderId="0" xfId="5" applyNumberFormat="1" applyFont="1" applyAlignment="1">
      <alignment horizontal="center" vertical="center"/>
    </xf>
    <xf numFmtId="0" fontId="48" fillId="0" borderId="0" xfId="5" applyFont="1" applyAlignment="1">
      <alignment horizontal="center" vertical="center"/>
    </xf>
    <xf numFmtId="0" fontId="49" fillId="0" borderId="0" xfId="5" applyFont="1" applyAlignment="1" applyProtection="1">
      <alignment horizontal="center"/>
      <protection locked="0"/>
    </xf>
    <xf numFmtId="0" fontId="45" fillId="0" borderId="0" xfId="5" applyFont="1" applyAlignment="1" applyProtection="1">
      <alignment horizontal="center"/>
      <protection locked="0"/>
    </xf>
    <xf numFmtId="179" fontId="48" fillId="0" borderId="0" xfId="5" applyNumberFormat="1" applyFont="1" applyAlignment="1">
      <alignment horizontal="center" vertical="center"/>
    </xf>
    <xf numFmtId="0" fontId="43" fillId="0" borderId="0" xfId="5" applyAlignment="1">
      <alignment horizontal="center" vertical="center"/>
    </xf>
    <xf numFmtId="2" fontId="48" fillId="0" borderId="0" xfId="6" applyNumberFormat="1" applyFont="1" applyAlignment="1" applyProtection="1">
      <alignment horizontal="center" vertical="center"/>
    </xf>
    <xf numFmtId="164" fontId="48" fillId="0" borderId="0" xfId="5" applyNumberFormat="1" applyFont="1" applyAlignment="1">
      <alignment horizontal="center" vertical="center"/>
    </xf>
    <xf numFmtId="180" fontId="48" fillId="0" borderId="0" xfId="5" applyNumberFormat="1" applyFont="1" applyAlignment="1">
      <alignment horizontal="center" vertical="center"/>
    </xf>
    <xf numFmtId="167" fontId="48" fillId="0" borderId="0" xfId="5" applyNumberFormat="1" applyFont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0" fontId="43" fillId="0" borderId="0" xfId="5" applyAlignment="1">
      <alignment horizontal="center"/>
    </xf>
    <xf numFmtId="0" fontId="61" fillId="4" borderId="0" xfId="0" applyFont="1" applyFill="1" applyAlignment="1">
      <alignment horizontal="center"/>
    </xf>
    <xf numFmtId="0" fontId="59" fillId="4" borderId="0" xfId="0" applyFont="1" applyFill="1" applyAlignment="1">
      <alignment horizontal="center"/>
    </xf>
    <xf numFmtId="0" fontId="2" fillId="13" borderId="35" xfId="0" applyFont="1" applyFill="1" applyBorder="1" applyAlignment="1">
      <alignment horizontal="center"/>
    </xf>
    <xf numFmtId="0" fontId="10" fillId="0" borderId="0" xfId="0" applyFont="1" applyAlignment="1">
      <alignment horizontal="right"/>
    </xf>
    <xf numFmtId="0" fontId="10" fillId="0" borderId="0" xfId="0" applyFont="1" applyAlignment="1">
      <alignment horizontal="center"/>
    </xf>
    <xf numFmtId="0" fontId="10" fillId="0" borderId="0" xfId="0" applyFont="1"/>
    <xf numFmtId="0" fontId="9" fillId="0" borderId="0" xfId="0" applyFont="1" applyAlignment="1">
      <alignment horizontal="right"/>
    </xf>
    <xf numFmtId="0" fontId="9" fillId="0" borderId="0" xfId="0" applyFont="1"/>
    <xf numFmtId="164" fontId="9" fillId="15" borderId="0" xfId="0" applyNumberFormat="1" applyFont="1" applyFill="1" applyProtection="1">
      <protection locked="0"/>
    </xf>
    <xf numFmtId="164" fontId="9" fillId="0" borderId="0" xfId="0" applyNumberFormat="1" applyFont="1"/>
    <xf numFmtId="0" fontId="62" fillId="0" borderId="0" xfId="0" applyFont="1"/>
    <xf numFmtId="0" fontId="9" fillId="0" borderId="0" xfId="0" applyFont="1" applyAlignment="1">
      <alignment horizontal="left"/>
    </xf>
    <xf numFmtId="1" fontId="9" fillId="0" borderId="0" xfId="0" applyNumberFormat="1" applyFont="1" applyAlignment="1">
      <alignment horizontal="right"/>
    </xf>
    <xf numFmtId="167" fontId="9" fillId="0" borderId="0" xfId="0" applyNumberFormat="1" applyFont="1"/>
    <xf numFmtId="164" fontId="9" fillId="0" borderId="0" xfId="0" applyNumberFormat="1" applyFont="1" applyProtection="1">
      <protection locked="0"/>
    </xf>
    <xf numFmtId="0" fontId="9" fillId="16" borderId="0" xfId="0" applyFont="1" applyFill="1" applyProtection="1">
      <protection locked="0"/>
    </xf>
    <xf numFmtId="2" fontId="9" fillId="0" borderId="0" xfId="0" applyNumberFormat="1" applyFont="1"/>
    <xf numFmtId="0" fontId="9" fillId="15" borderId="0" xfId="0" applyFont="1" applyFill="1" applyProtection="1">
      <protection locked="0"/>
    </xf>
    <xf numFmtId="164" fontId="9" fillId="16" borderId="0" xfId="0" applyNumberFormat="1" applyFont="1" applyFill="1" applyProtection="1">
      <protection locked="0"/>
    </xf>
    <xf numFmtId="1" fontId="9" fillId="0" borderId="0" xfId="0" applyNumberFormat="1" applyFont="1"/>
    <xf numFmtId="165" fontId="9" fillId="0" borderId="0" xfId="0" applyNumberFormat="1" applyFont="1" applyAlignment="1">
      <alignment horizontal="right"/>
    </xf>
    <xf numFmtId="164" fontId="9" fillId="0" borderId="0" xfId="0" applyNumberFormat="1" applyFont="1" applyAlignment="1">
      <alignment horizontal="left"/>
    </xf>
    <xf numFmtId="164" fontId="10" fillId="0" borderId="0" xfId="0" applyNumberFormat="1" applyFont="1" applyAlignment="1">
      <alignment horizontal="left"/>
    </xf>
    <xf numFmtId="164" fontId="10" fillId="0" borderId="0" xfId="0" applyNumberFormat="1" applyFont="1"/>
    <xf numFmtId="0" fontId="9" fillId="0" borderId="0" xfId="0" applyFont="1" applyProtection="1">
      <protection locked="0"/>
    </xf>
    <xf numFmtId="0" fontId="63" fillId="0" borderId="0" xfId="0" applyFont="1" applyAlignment="1">
      <alignment horizontal="left"/>
    </xf>
    <xf numFmtId="0" fontId="63" fillId="0" borderId="0" xfId="0" applyFont="1"/>
    <xf numFmtId="0" fontId="3" fillId="0" borderId="14" xfId="0" applyFont="1" applyBorder="1" applyAlignment="1">
      <alignment horizontal="center" vertical="center"/>
    </xf>
    <xf numFmtId="0" fontId="40" fillId="0" borderId="0" xfId="0" applyFont="1" applyProtection="1">
      <protection locked="0"/>
    </xf>
    <xf numFmtId="0" fontId="0" fillId="9" borderId="1" xfId="0" applyFill="1" applyBorder="1" applyAlignment="1">
      <alignment horizontal="center"/>
    </xf>
    <xf numFmtId="0" fontId="6" fillId="0" borderId="0" xfId="0" applyFont="1" applyAlignment="1">
      <alignment horizontal="left" vertical="top"/>
    </xf>
    <xf numFmtId="0" fontId="6" fillId="0" borderId="0" xfId="0" applyFont="1"/>
    <xf numFmtId="0" fontId="0" fillId="0" borderId="6" xfId="0" applyBorder="1" applyAlignment="1">
      <alignment horizontal="center" vertical="center"/>
    </xf>
    <xf numFmtId="0" fontId="66" fillId="0" borderId="0" xfId="0" applyFont="1" applyAlignment="1" applyProtection="1">
      <alignment horizontal="center" vertical="center"/>
      <protection locked="0"/>
    </xf>
    <xf numFmtId="0" fontId="39" fillId="0" borderId="77" xfId="0" applyFont="1" applyBorder="1"/>
    <xf numFmtId="0" fontId="0" fillId="17" borderId="0" xfId="0" applyFill="1" applyAlignment="1">
      <alignment horizontal="center" vertical="center"/>
    </xf>
    <xf numFmtId="0" fontId="39" fillId="0" borderId="2" xfId="0" applyFont="1" applyBorder="1"/>
    <xf numFmtId="0" fontId="60" fillId="0" borderId="0" xfId="0" applyFont="1" applyAlignment="1">
      <alignment horizontal="center" vertical="center"/>
    </xf>
    <xf numFmtId="2" fontId="48" fillId="0" borderId="0" xfId="6" applyNumberFormat="1" applyFont="1" applyAlignment="1">
      <alignment horizontal="center"/>
    </xf>
    <xf numFmtId="0" fontId="45" fillId="0" borderId="0" xfId="5" applyFont="1" applyAlignment="1">
      <alignment horizontal="center"/>
    </xf>
    <xf numFmtId="164" fontId="0" fillId="0" borderId="0" xfId="0" applyNumberFormat="1" applyAlignment="1">
      <alignment horizontal="center" vertical="top"/>
    </xf>
    <xf numFmtId="0" fontId="0" fillId="0" borderId="0" xfId="0" applyAlignment="1">
      <alignment horizontal="center" vertical="top"/>
    </xf>
    <xf numFmtId="176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 vertical="top"/>
    </xf>
    <xf numFmtId="165" fontId="48" fillId="0" borderId="0" xfId="6" applyNumberFormat="1" applyFont="1" applyAlignment="1">
      <alignment horizontal="center"/>
    </xf>
    <xf numFmtId="3" fontId="9" fillId="8" borderId="49" xfId="2" applyNumberFormat="1" applyFill="1" applyBorder="1" applyAlignment="1" applyProtection="1">
      <alignment horizontal="center"/>
      <protection locked="0"/>
    </xf>
    <xf numFmtId="3" fontId="9" fillId="18" borderId="49" xfId="2" applyNumberFormat="1" applyFill="1" applyBorder="1" applyProtection="1">
      <protection locked="0"/>
    </xf>
    <xf numFmtId="0" fontId="0" fillId="0" borderId="5" xfId="0" applyBorder="1" applyProtection="1">
      <protection hidden="1"/>
    </xf>
    <xf numFmtId="164" fontId="0" fillId="0" borderId="5" xfId="0" applyNumberFormat="1" applyBorder="1" applyProtection="1">
      <protection hidden="1"/>
    </xf>
    <xf numFmtId="3" fontId="0" fillId="0" borderId="5" xfId="0" applyNumberFormat="1" applyBorder="1" applyProtection="1">
      <protection hidden="1"/>
    </xf>
    <xf numFmtId="0" fontId="9" fillId="18" borderId="49" xfId="2" applyFill="1" applyBorder="1" applyAlignment="1" applyProtection="1">
      <alignment horizontal="center"/>
      <protection locked="0"/>
    </xf>
    <xf numFmtId="0" fontId="40" fillId="0" borderId="1" xfId="0" applyFont="1" applyBorder="1" applyAlignment="1" applyProtection="1">
      <alignment horizontal="center" vertical="center"/>
      <protection locked="0"/>
    </xf>
    <xf numFmtId="0" fontId="15" fillId="0" borderId="0" xfId="0" applyFont="1" applyAlignment="1">
      <alignment horizontal="center"/>
    </xf>
    <xf numFmtId="0" fontId="59" fillId="0" borderId="0" xfId="0" applyFont="1" applyAlignment="1">
      <alignment horizontal="center" vertical="center"/>
    </xf>
    <xf numFmtId="0" fontId="59" fillId="0" borderId="0" xfId="0" applyFont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 applyProtection="1">
      <alignment horizontal="center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49" fontId="0" fillId="0" borderId="0" xfId="0" applyNumberFormat="1"/>
    <xf numFmtId="49" fontId="0" fillId="0" borderId="0" xfId="0" applyNumberFormat="1" applyProtection="1">
      <protection locked="0"/>
    </xf>
    <xf numFmtId="2" fontId="9" fillId="8" borderId="50" xfId="2" applyNumberFormat="1" applyFill="1" applyBorder="1" applyProtection="1">
      <protection hidden="1"/>
    </xf>
    <xf numFmtId="164" fontId="9" fillId="8" borderId="49" xfId="2" applyNumberFormat="1" applyFill="1" applyBorder="1" applyProtection="1">
      <protection hidden="1"/>
    </xf>
    <xf numFmtId="3" fontId="9" fillId="8" borderId="49" xfId="2" applyNumberFormat="1" applyFill="1" applyBorder="1" applyProtection="1">
      <protection hidden="1"/>
    </xf>
    <xf numFmtId="0" fontId="9" fillId="18" borderId="49" xfId="2" applyFill="1" applyBorder="1" applyAlignment="1" applyProtection="1">
      <alignment horizontal="center"/>
      <protection hidden="1"/>
    </xf>
    <xf numFmtId="3" fontId="9" fillId="8" borderId="49" xfId="2" applyNumberFormat="1" applyFill="1" applyBorder="1" applyAlignment="1" applyProtection="1">
      <alignment horizontal="center"/>
      <protection hidden="1"/>
    </xf>
    <xf numFmtId="0" fontId="2" fillId="17" borderId="3" xfId="0" applyFont="1" applyFill="1" applyBorder="1" applyAlignment="1">
      <alignment horizontal="center"/>
    </xf>
    <xf numFmtId="0" fontId="3" fillId="0" borderId="47" xfId="0" applyFont="1" applyBorder="1" applyAlignment="1">
      <alignment horizontal="center" vertical="center"/>
    </xf>
    <xf numFmtId="0" fontId="0" fillId="19" borderId="1" xfId="0" applyFill="1" applyBorder="1"/>
    <xf numFmtId="0" fontId="0" fillId="20" borderId="1" xfId="0" applyFill="1" applyBorder="1"/>
    <xf numFmtId="0" fontId="40" fillId="21" borderId="1" xfId="0" applyFont="1" applyFill="1" applyBorder="1" applyAlignment="1" applyProtection="1">
      <alignment horizontal="center" vertical="center"/>
      <protection locked="0"/>
    </xf>
    <xf numFmtId="0" fontId="9" fillId="0" borderId="0" xfId="1" applyProtection="1">
      <protection locked="0"/>
    </xf>
    <xf numFmtId="0" fontId="9" fillId="0" borderId="0" xfId="1"/>
    <xf numFmtId="0" fontId="2" fillId="0" borderId="1" xfId="1" applyFont="1" applyBorder="1"/>
    <xf numFmtId="0" fontId="2" fillId="0" borderId="0" xfId="1" applyFont="1"/>
    <xf numFmtId="0" fontId="6" fillId="0" borderId="0" xfId="1" applyFont="1" applyAlignment="1">
      <alignment horizontal="center"/>
    </xf>
    <xf numFmtId="0" fontId="10" fillId="0" borderId="13" xfId="1" applyFont="1" applyBorder="1" applyAlignment="1">
      <alignment horizontal="center"/>
    </xf>
    <xf numFmtId="0" fontId="10" fillId="0" borderId="12" xfId="1" applyFont="1" applyBorder="1" applyAlignment="1">
      <alignment horizontal="center"/>
    </xf>
    <xf numFmtId="0" fontId="10" fillId="0" borderId="0" xfId="1" applyFont="1" applyAlignment="1">
      <alignment horizontal="center"/>
    </xf>
    <xf numFmtId="0" fontId="9" fillId="0" borderId="0" xfId="1" applyAlignment="1" applyProtection="1">
      <alignment horizontal="center"/>
      <protection locked="0" hidden="1"/>
    </xf>
    <xf numFmtId="174" fontId="9" fillId="0" borderId="8" xfId="1" applyNumberFormat="1" applyBorder="1" applyAlignment="1" applyProtection="1">
      <alignment horizontal="center"/>
      <protection locked="0"/>
    </xf>
    <xf numFmtId="2" fontId="9" fillId="0" borderId="8" xfId="1" applyNumberFormat="1" applyBorder="1" applyAlignment="1" applyProtection="1">
      <alignment horizontal="center"/>
      <protection locked="0"/>
    </xf>
    <xf numFmtId="2" fontId="9" fillId="0" borderId="7" xfId="1" applyNumberFormat="1" applyBorder="1" applyAlignment="1" applyProtection="1">
      <alignment horizontal="center"/>
      <protection locked="0"/>
    </xf>
    <xf numFmtId="2" fontId="9" fillId="0" borderId="0" xfId="1" applyNumberFormat="1" applyAlignment="1">
      <alignment horizontal="center"/>
    </xf>
    <xf numFmtId="167" fontId="9" fillId="0" borderId="0" xfId="1" applyNumberFormat="1" applyAlignment="1">
      <alignment horizontal="center"/>
    </xf>
    <xf numFmtId="170" fontId="9" fillId="0" borderId="0" xfId="1" applyNumberFormat="1" applyAlignment="1" applyProtection="1">
      <alignment horizontal="center"/>
      <protection hidden="1"/>
    </xf>
    <xf numFmtId="0" fontId="9" fillId="0" borderId="0" xfId="1" applyAlignment="1" applyProtection="1">
      <alignment horizontal="center"/>
      <protection hidden="1"/>
    </xf>
    <xf numFmtId="0" fontId="9" fillId="0" borderId="8" xfId="1" applyBorder="1" applyAlignment="1" applyProtection="1">
      <alignment horizontal="center"/>
      <protection locked="0"/>
    </xf>
    <xf numFmtId="0" fontId="9" fillId="0" borderId="8" xfId="1" applyBorder="1" applyAlignment="1">
      <alignment horizontal="center"/>
    </xf>
    <xf numFmtId="2" fontId="9" fillId="0" borderId="8" xfId="1" applyNumberFormat="1" applyBorder="1" applyAlignment="1">
      <alignment horizontal="center"/>
    </xf>
    <xf numFmtId="175" fontId="9" fillId="0" borderId="8" xfId="1" applyNumberFormat="1" applyBorder="1" applyAlignment="1">
      <alignment horizontal="center"/>
    </xf>
    <xf numFmtId="167" fontId="9" fillId="0" borderId="7" xfId="1" applyNumberFormat="1" applyBorder="1" applyAlignment="1">
      <alignment horizontal="center"/>
    </xf>
    <xf numFmtId="1" fontId="9" fillId="0" borderId="8" xfId="1" applyNumberFormat="1" applyBorder="1" applyAlignment="1">
      <alignment horizontal="center"/>
    </xf>
    <xf numFmtId="0" fontId="9" fillId="0" borderId="7" xfId="1" applyBorder="1" applyAlignment="1">
      <alignment horizontal="center"/>
    </xf>
    <xf numFmtId="0" fontId="10" fillId="0" borderId="14" xfId="1" applyFont="1" applyBorder="1" applyAlignment="1">
      <alignment horizontal="center"/>
    </xf>
    <xf numFmtId="2" fontId="9" fillId="0" borderId="7" xfId="1" applyNumberFormat="1" applyBorder="1" applyAlignment="1">
      <alignment horizontal="center"/>
    </xf>
    <xf numFmtId="0" fontId="10" fillId="0" borderId="9" xfId="1" applyFont="1" applyBorder="1" applyAlignment="1">
      <alignment horizontal="center"/>
    </xf>
    <xf numFmtId="167" fontId="9" fillId="0" borderId="8" xfId="1" applyNumberFormat="1" applyBorder="1" applyAlignment="1">
      <alignment horizontal="center"/>
    </xf>
    <xf numFmtId="0" fontId="9" fillId="0" borderId="19" xfId="1" applyBorder="1" applyAlignment="1" applyProtection="1">
      <alignment horizontal="center"/>
      <protection locked="0"/>
    </xf>
    <xf numFmtId="167" fontId="9" fillId="0" borderId="19" xfId="1" applyNumberFormat="1" applyBorder="1" applyAlignment="1" applyProtection="1">
      <alignment horizontal="center"/>
      <protection locked="0"/>
    </xf>
    <xf numFmtId="0" fontId="9" fillId="0" borderId="19" xfId="1" applyBorder="1" applyAlignment="1">
      <alignment horizontal="center"/>
    </xf>
    <xf numFmtId="1" fontId="9" fillId="0" borderId="15" xfId="1" applyNumberFormat="1" applyBorder="1" applyAlignment="1">
      <alignment horizontal="center"/>
    </xf>
    <xf numFmtId="0" fontId="9" fillId="0" borderId="0" xfId="1" applyAlignment="1">
      <alignment horizontal="center"/>
    </xf>
    <xf numFmtId="170" fontId="9" fillId="0" borderId="1" xfId="1" applyNumberFormat="1" applyBorder="1" applyAlignment="1" applyProtection="1">
      <alignment horizontal="center"/>
    </xf>
    <xf numFmtId="170" fontId="9" fillId="0" borderId="10" xfId="1" applyNumberFormat="1" applyBorder="1" applyAlignment="1" applyProtection="1">
      <alignment horizontal="center"/>
    </xf>
    <xf numFmtId="0" fontId="10" fillId="0" borderId="1" xfId="1" applyFont="1" applyBorder="1" applyAlignment="1">
      <alignment horizontal="center"/>
    </xf>
    <xf numFmtId="0" fontId="10" fillId="0" borderId="10" xfId="1" applyFont="1" applyBorder="1" applyAlignment="1">
      <alignment horizontal="center"/>
    </xf>
    <xf numFmtId="170" fontId="9" fillId="0" borderId="8" xfId="1" applyNumberFormat="1" applyBorder="1" applyAlignment="1">
      <alignment horizontal="center"/>
    </xf>
    <xf numFmtId="170" fontId="9" fillId="0" borderId="7" xfId="1" applyNumberFormat="1" applyBorder="1" applyAlignment="1">
      <alignment horizontal="center"/>
    </xf>
    <xf numFmtId="0" fontId="10" fillId="0" borderId="18" xfId="1" applyFont="1" applyBorder="1" applyAlignment="1">
      <alignment horizontal="center"/>
    </xf>
    <xf numFmtId="0" fontId="10" fillId="0" borderId="11" xfId="1" applyFont="1" applyBorder="1" applyAlignment="1">
      <alignment horizontal="center"/>
    </xf>
    <xf numFmtId="0" fontId="10" fillId="0" borderId="16" xfId="1" applyFont="1" applyBorder="1" applyAlignment="1">
      <alignment horizontal="center"/>
    </xf>
    <xf numFmtId="171" fontId="9" fillId="0" borderId="15" xfId="1" applyNumberFormat="1" applyBorder="1" applyAlignment="1">
      <alignment horizontal="center"/>
    </xf>
    <xf numFmtId="0" fontId="9" fillId="0" borderId="14" xfId="1" applyBorder="1" applyAlignment="1">
      <alignment horizontal="center"/>
    </xf>
    <xf numFmtId="170" fontId="9" fillId="0" borderId="1" xfId="1" applyNumberFormat="1" applyBorder="1" applyAlignment="1">
      <alignment horizontal="center"/>
    </xf>
    <xf numFmtId="0" fontId="9" fillId="0" borderId="1" xfId="1" applyBorder="1" applyAlignment="1">
      <alignment horizontal="center"/>
    </xf>
    <xf numFmtId="0" fontId="9" fillId="0" borderId="10" xfId="1" applyBorder="1"/>
    <xf numFmtId="169" fontId="9" fillId="0" borderId="1" xfId="1" applyNumberFormat="1" applyBorder="1" applyAlignment="1">
      <alignment horizontal="center"/>
    </xf>
    <xf numFmtId="168" fontId="9" fillId="0" borderId="8" xfId="1" applyNumberFormat="1" applyBorder="1" applyAlignment="1">
      <alignment horizontal="center"/>
    </xf>
    <xf numFmtId="0" fontId="10" fillId="0" borderId="7" xfId="1" applyFont="1" applyBorder="1" applyAlignment="1">
      <alignment horizontal="center"/>
    </xf>
    <xf numFmtId="0" fontId="9" fillId="0" borderId="0" xfId="1" applyAlignment="1">
      <alignment horizontal="left"/>
    </xf>
    <xf numFmtId="0" fontId="9" fillId="0" borderId="0" xfId="1" applyProtection="1">
      <protection hidden="1"/>
    </xf>
    <xf numFmtId="0" fontId="10" fillId="0" borderId="0" xfId="1" applyFont="1" applyAlignment="1" applyProtection="1">
      <alignment horizontal="center"/>
      <protection locked="0"/>
    </xf>
    <xf numFmtId="167" fontId="10" fillId="0" borderId="0" xfId="1" applyNumberFormat="1" applyFont="1" applyAlignment="1" applyProtection="1">
      <alignment horizontal="center"/>
      <protection locked="0"/>
    </xf>
    <xf numFmtId="0" fontId="9" fillId="0" borderId="0" xfId="1" applyAlignment="1" applyProtection="1">
      <alignment horizontal="right"/>
      <protection locked="0"/>
    </xf>
    <xf numFmtId="0" fontId="0" fillId="0" borderId="0" xfId="0" applyAlignment="1">
      <alignment horizontal="left" vertical="center"/>
    </xf>
    <xf numFmtId="0" fontId="2" fillId="9" borderId="1" xfId="0" applyFont="1" applyFill="1" applyBorder="1" applyAlignment="1">
      <alignment horizontal="center"/>
    </xf>
    <xf numFmtId="0" fontId="70" fillId="0" borderId="13" xfId="0" applyFont="1" applyBorder="1" applyAlignment="1">
      <alignment horizontal="center" vertical="center"/>
    </xf>
    <xf numFmtId="1" fontId="69" fillId="0" borderId="1" xfId="0" applyNumberFormat="1" applyFont="1" applyBorder="1" applyAlignment="1">
      <alignment horizontal="center" vertical="center"/>
    </xf>
    <xf numFmtId="0" fontId="70" fillId="0" borderId="12" xfId="0" applyFont="1" applyBorder="1" applyAlignment="1">
      <alignment horizontal="center" vertical="center"/>
    </xf>
    <xf numFmtId="1" fontId="70" fillId="0" borderId="47" xfId="0" applyNumberFormat="1" applyFont="1" applyBorder="1" applyAlignment="1">
      <alignment horizontal="center" vertical="center"/>
    </xf>
    <xf numFmtId="1" fontId="69" fillId="0" borderId="11" xfId="0" applyNumberFormat="1" applyFont="1" applyBorder="1" applyAlignment="1">
      <alignment horizontal="center" vertical="center"/>
    </xf>
    <xf numFmtId="0" fontId="71" fillId="0" borderId="0" xfId="0" applyFont="1" applyAlignment="1">
      <alignment horizontal="center"/>
    </xf>
    <xf numFmtId="0" fontId="69" fillId="0" borderId="0" xfId="0" applyFont="1"/>
    <xf numFmtId="0" fontId="60" fillId="0" borderId="0" xfId="0" applyFont="1" applyProtection="1">
      <protection hidden="1"/>
    </xf>
    <xf numFmtId="0" fontId="2" fillId="22" borderId="0" xfId="0" applyFont="1" applyFill="1" applyAlignment="1">
      <alignment horizontal="center"/>
    </xf>
    <xf numFmtId="0" fontId="9" fillId="13" borderId="0" xfId="1" applyFill="1" applyAlignment="1">
      <alignment horizontal="center"/>
    </xf>
    <xf numFmtId="0" fontId="15" fillId="0" borderId="0" xfId="0" applyFont="1"/>
    <xf numFmtId="178" fontId="0" fillId="3" borderId="1" xfId="0" applyNumberFormat="1" applyFill="1" applyBorder="1" applyAlignment="1" applyProtection="1">
      <alignment horizontal="center" vertical="center"/>
      <protection locked="0"/>
    </xf>
    <xf numFmtId="0" fontId="2" fillId="0" borderId="0" xfId="0" applyFont="1" applyAlignment="1">
      <alignment horizontal="center"/>
    </xf>
    <xf numFmtId="3" fontId="0" fillId="0" borderId="1" xfId="0" applyNumberFormat="1" applyBorder="1" applyAlignment="1" applyProtection="1">
      <alignment horizontal="center" vertical="center"/>
      <protection hidden="1"/>
    </xf>
    <xf numFmtId="0" fontId="0" fillId="0" borderId="0" xfId="0" quotePrefix="1"/>
    <xf numFmtId="0" fontId="0" fillId="0" borderId="0" xfId="0" applyAlignment="1">
      <alignment horizontal="left"/>
    </xf>
    <xf numFmtId="0" fontId="0" fillId="17" borderId="0" xfId="0" applyFill="1"/>
    <xf numFmtId="0" fontId="72" fillId="0" borderId="0" xfId="7"/>
    <xf numFmtId="0" fontId="72" fillId="0" borderId="0" xfId="7" applyProtection="1">
      <protection hidden="1"/>
    </xf>
    <xf numFmtId="1" fontId="2" fillId="0" borderId="0" xfId="0" applyNumberFormat="1" applyFont="1" applyAlignment="1">
      <alignment horizontal="center" vertical="center"/>
    </xf>
    <xf numFmtId="164" fontId="0" fillId="17" borderId="0" xfId="0" applyNumberFormat="1" applyFill="1" applyAlignment="1">
      <alignment horizontal="center" vertical="top"/>
    </xf>
    <xf numFmtId="0" fontId="45" fillId="17" borderId="0" xfId="5" applyFont="1" applyFill="1" applyAlignment="1">
      <alignment horizontal="center"/>
    </xf>
    <xf numFmtId="0" fontId="46" fillId="17" borderId="0" xfId="5" applyFont="1" applyFill="1"/>
    <xf numFmtId="0" fontId="45" fillId="17" borderId="0" xfId="5" applyFont="1" applyFill="1"/>
    <xf numFmtId="0" fontId="0" fillId="0" borderId="0" xfId="0" applyAlignment="1">
      <alignment horizontal="right" vertical="center"/>
    </xf>
    <xf numFmtId="0" fontId="15" fillId="0" borderId="0" xfId="0" applyFont="1" applyAlignment="1">
      <alignment horizontal="right"/>
    </xf>
    <xf numFmtId="0" fontId="45" fillId="0" borderId="0" xfId="5" applyFont="1" applyAlignment="1">
      <alignment horizontal="left"/>
    </xf>
    <xf numFmtId="0" fontId="73" fillId="0" borderId="0" xfId="5" applyFont="1"/>
    <xf numFmtId="0" fontId="0" fillId="17" borderId="0" xfId="0" applyFill="1" applyAlignment="1">
      <alignment horizontal="center" vertical="top"/>
    </xf>
    <xf numFmtId="0" fontId="13" fillId="0" borderId="0" xfId="0" applyFont="1"/>
    <xf numFmtId="0" fontId="66" fillId="0" borderId="0" xfId="5" applyFont="1" applyAlignment="1">
      <alignment horizontal="left"/>
    </xf>
    <xf numFmtId="179" fontId="15" fillId="0" borderId="0" xfId="5" applyNumberFormat="1" applyFont="1" applyAlignment="1">
      <alignment horizontal="center"/>
    </xf>
    <xf numFmtId="1" fontId="15" fillId="0" borderId="0" xfId="5" applyNumberFormat="1" applyFont="1" applyAlignment="1">
      <alignment horizontal="center"/>
    </xf>
    <xf numFmtId="2" fontId="15" fillId="0" borderId="0" xfId="6" applyNumberFormat="1" applyFont="1" applyAlignment="1" applyProtection="1">
      <alignment horizontal="center"/>
    </xf>
    <xf numFmtId="164" fontId="15" fillId="0" borderId="0" xfId="5" applyNumberFormat="1" applyFont="1" applyAlignment="1">
      <alignment horizontal="center"/>
    </xf>
    <xf numFmtId="39" fontId="15" fillId="0" borderId="0" xfId="5" applyNumberFormat="1" applyFont="1" applyAlignment="1">
      <alignment horizontal="center"/>
    </xf>
    <xf numFmtId="180" fontId="15" fillId="0" borderId="0" xfId="5" applyNumberFormat="1" applyFont="1" applyAlignment="1">
      <alignment horizontal="center"/>
    </xf>
    <xf numFmtId="0" fontId="15" fillId="0" borderId="0" xfId="5" applyFont="1" applyAlignment="1">
      <alignment horizontal="center"/>
    </xf>
    <xf numFmtId="0" fontId="15" fillId="0" borderId="0" xfId="5" applyFont="1"/>
    <xf numFmtId="0" fontId="66" fillId="0" borderId="0" xfId="5" applyFont="1" applyAlignment="1">
      <alignment horizontal="center"/>
    </xf>
    <xf numFmtId="0" fontId="13" fillId="0" borderId="0" xfId="0" applyFont="1" applyAlignment="1">
      <alignment horizontal="left" vertical="top"/>
    </xf>
    <xf numFmtId="165" fontId="15" fillId="0" borderId="0" xfId="5" applyNumberFormat="1" applyFont="1" applyAlignment="1">
      <alignment horizontal="center"/>
    </xf>
    <xf numFmtId="167" fontId="15" fillId="0" borderId="0" xfId="5" applyNumberFormat="1" applyFont="1" applyAlignment="1">
      <alignment horizontal="center"/>
    </xf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center"/>
    </xf>
    <xf numFmtId="2" fontId="0" fillId="0" borderId="4" xfId="0" applyNumberFormat="1" applyBorder="1" applyAlignment="1">
      <alignment horizontal="center" vertical="center"/>
    </xf>
    <xf numFmtId="166" fontId="0" fillId="0" borderId="5" xfId="0" applyNumberFormat="1" applyBorder="1" applyAlignment="1">
      <alignment horizontal="center"/>
    </xf>
    <xf numFmtId="0" fontId="0" fillId="0" borderId="4" xfId="0" applyBorder="1"/>
    <xf numFmtId="0" fontId="0" fillId="0" borderId="19" xfId="0" applyBorder="1"/>
    <xf numFmtId="0" fontId="0" fillId="0" borderId="0" xfId="0" applyAlignment="1">
      <alignment horizontal="right"/>
    </xf>
    <xf numFmtId="0" fontId="0" fillId="0" borderId="5" xfId="0" applyBorder="1"/>
    <xf numFmtId="0" fontId="0" fillId="0" borderId="3" xfId="0" applyBorder="1" applyAlignment="1">
      <alignment horizontal="right"/>
    </xf>
    <xf numFmtId="164" fontId="0" fillId="0" borderId="1" xfId="0" applyNumberFormat="1" applyBorder="1" applyAlignment="1" applyProtection="1">
      <alignment horizontal="center" vertical="center"/>
      <protection hidden="1"/>
    </xf>
    <xf numFmtId="0" fontId="74" fillId="0" borderId="0" xfId="0" applyFont="1"/>
    <xf numFmtId="0" fontId="0" fillId="0" borderId="8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" fontId="0" fillId="0" borderId="14" xfId="0" applyNumberFormat="1" applyBorder="1" applyAlignment="1">
      <alignment horizontal="center" vertical="center"/>
    </xf>
    <xf numFmtId="1" fontId="0" fillId="0" borderId="13" xfId="0" applyNumberFormat="1" applyBorder="1" applyAlignment="1">
      <alignment horizontal="center" vertical="center"/>
    </xf>
    <xf numFmtId="1" fontId="0" fillId="0" borderId="12" xfId="0" applyNumberFormat="1" applyBorder="1" applyAlignment="1">
      <alignment horizontal="center" vertical="center"/>
    </xf>
    <xf numFmtId="1" fontId="0" fillId="0" borderId="9" xfId="0" applyNumberFormat="1" applyBorder="1" applyAlignment="1">
      <alignment horizontal="center" vertical="center"/>
    </xf>
    <xf numFmtId="1" fontId="0" fillId="0" borderId="79" xfId="0" applyNumberFormat="1" applyBorder="1" applyAlignment="1">
      <alignment horizontal="center" vertical="center"/>
    </xf>
    <xf numFmtId="1" fontId="0" fillId="0" borderId="50" xfId="0" applyNumberFormat="1" applyBorder="1" applyAlignment="1">
      <alignment horizontal="center" vertical="center"/>
    </xf>
    <xf numFmtId="164" fontId="0" fillId="0" borderId="11" xfId="0" applyNumberFormat="1" applyBorder="1" applyAlignment="1">
      <alignment horizontal="center" vertical="center"/>
    </xf>
    <xf numFmtId="164" fontId="0" fillId="0" borderId="49" xfId="0" applyNumberFormat="1" applyBorder="1" applyAlignment="1">
      <alignment horizontal="center" vertical="center"/>
    </xf>
    <xf numFmtId="179" fontId="48" fillId="0" borderId="0" xfId="5" applyNumberFormat="1" applyFont="1" applyAlignment="1">
      <alignment horizontal="left"/>
    </xf>
    <xf numFmtId="0" fontId="15" fillId="0" borderId="1" xfId="0" applyFont="1" applyBorder="1" applyAlignment="1">
      <alignment horizontal="center" vertical="center"/>
    </xf>
    <xf numFmtId="0" fontId="78" fillId="0" borderId="0" xfId="5" applyFont="1"/>
    <xf numFmtId="181" fontId="48" fillId="0" borderId="0" xfId="6" applyNumberFormat="1" applyFont="1" applyAlignment="1">
      <alignment horizontal="right"/>
    </xf>
    <xf numFmtId="0" fontId="48" fillId="0" borderId="0" xfId="6" applyNumberFormat="1" applyFont="1" applyAlignment="1">
      <alignment horizontal="center"/>
    </xf>
    <xf numFmtId="0" fontId="13" fillId="0" borderId="1" xfId="0" applyFont="1" applyBorder="1"/>
    <xf numFmtId="0" fontId="13" fillId="0" borderId="0" xfId="0" applyFont="1" applyAlignment="1">
      <alignment horizontal="center" vertical="center"/>
    </xf>
    <xf numFmtId="2" fontId="13" fillId="0" borderId="0" xfId="0" applyNumberFormat="1" applyFont="1" applyAlignment="1" applyProtection="1">
      <alignment horizontal="left" vertical="top"/>
      <protection hidden="1"/>
    </xf>
    <xf numFmtId="1" fontId="13" fillId="0" borderId="1" xfId="0" applyNumberFormat="1" applyFont="1" applyBorder="1"/>
    <xf numFmtId="0" fontId="13" fillId="0" borderId="0" xfId="0" applyFont="1" applyAlignment="1" applyProtection="1">
      <alignment horizontal="left" vertical="top"/>
      <protection hidden="1"/>
    </xf>
    <xf numFmtId="0" fontId="15" fillId="0" borderId="0" xfId="5" applyFont="1" applyAlignment="1">
      <alignment horizontal="center" vertical="center"/>
    </xf>
    <xf numFmtId="179" fontId="15" fillId="0" borderId="0" xfId="5" applyNumberFormat="1" applyFont="1" applyAlignment="1">
      <alignment horizontal="right"/>
    </xf>
    <xf numFmtId="180" fontId="15" fillId="0" borderId="0" xfId="5" applyNumberFormat="1" applyFont="1" applyAlignment="1">
      <alignment horizontal="center" vertical="center"/>
    </xf>
    <xf numFmtId="0" fontId="15" fillId="0" borderId="0" xfId="0" applyFont="1" applyAlignment="1">
      <alignment horizontal="left" vertical="top"/>
    </xf>
    <xf numFmtId="2" fontId="15" fillId="0" borderId="0" xfId="6" applyNumberFormat="1" applyFont="1" applyAlignment="1">
      <alignment horizontal="center"/>
    </xf>
    <xf numFmtId="178" fontId="0" fillId="3" borderId="1" xfId="0" applyNumberFormat="1" applyFill="1" applyBorder="1" applyAlignment="1">
      <alignment horizontal="center" vertical="center"/>
    </xf>
    <xf numFmtId="164" fontId="15" fillId="0" borderId="1" xfId="0" applyNumberFormat="1" applyFont="1" applyBorder="1" applyAlignment="1">
      <alignment horizontal="center" vertical="center"/>
    </xf>
    <xf numFmtId="0" fontId="0" fillId="23" borderId="0" xfId="0" applyFill="1" applyAlignment="1" applyProtection="1">
      <alignment horizontal="center"/>
      <protection locked="0"/>
    </xf>
    <xf numFmtId="164" fontId="0" fillId="0" borderId="0" xfId="0" applyNumberFormat="1" applyAlignment="1">
      <alignment horizontal="center"/>
    </xf>
    <xf numFmtId="0" fontId="79" fillId="0" borderId="0" xfId="0" applyFont="1"/>
    <xf numFmtId="0" fontId="79" fillId="0" borderId="0" xfId="0" quotePrefix="1" applyFont="1"/>
    <xf numFmtId="0" fontId="79" fillId="0" borderId="0" xfId="5" applyFont="1" applyAlignment="1">
      <alignment horizontal="left"/>
    </xf>
    <xf numFmtId="0" fontId="79" fillId="0" borderId="0" xfId="5" applyFont="1"/>
    <xf numFmtId="0" fontId="79" fillId="0" borderId="0" xfId="5" applyFont="1" applyAlignment="1">
      <alignment horizontal="center"/>
    </xf>
    <xf numFmtId="179" fontId="79" fillId="0" borderId="0" xfId="5" applyNumberFormat="1" applyFont="1" applyAlignment="1">
      <alignment horizontal="center"/>
    </xf>
    <xf numFmtId="0" fontId="79" fillId="0" borderId="0" xfId="5" applyFont="1" applyAlignment="1">
      <alignment horizontal="right"/>
    </xf>
    <xf numFmtId="0" fontId="79" fillId="0" borderId="0" xfId="0" applyFont="1" applyAlignment="1">
      <alignment horizontal="center"/>
    </xf>
    <xf numFmtId="164" fontId="79" fillId="0" borderId="0" xfId="0" applyNumberFormat="1" applyFont="1" applyAlignment="1">
      <alignment horizontal="center" vertical="center"/>
    </xf>
    <xf numFmtId="49" fontId="0" fillId="18" borderId="0" xfId="0" applyNumberFormat="1" applyFill="1" applyAlignment="1">
      <alignment horizontal="left" vertical="top"/>
    </xf>
    <xf numFmtId="2" fontId="9" fillId="0" borderId="0" xfId="2" applyNumberFormat="1" applyProtection="1">
      <protection locked="0"/>
    </xf>
    <xf numFmtId="0" fontId="2" fillId="14" borderId="35" xfId="0" applyFont="1" applyFill="1" applyBorder="1" applyAlignment="1">
      <alignment horizontal="center"/>
    </xf>
    <xf numFmtId="0" fontId="80" fillId="0" borderId="0" xfId="0" applyFont="1"/>
    <xf numFmtId="1" fontId="0" fillId="0" borderId="11" xfId="0" applyNumberFormat="1" applyBorder="1" applyAlignment="1">
      <alignment horizontal="center" vertical="center"/>
    </xf>
    <xf numFmtId="0" fontId="2" fillId="24" borderId="35" xfId="0" applyFont="1" applyFill="1" applyBorder="1" applyAlignment="1">
      <alignment horizontal="center"/>
    </xf>
    <xf numFmtId="0" fontId="81" fillId="0" borderId="8" xfId="1" applyFont="1" applyBorder="1" applyAlignment="1" applyProtection="1">
      <alignment horizontal="center"/>
    </xf>
    <xf numFmtId="173" fontId="81" fillId="0" borderId="17" xfId="1" applyNumberFormat="1" applyFont="1" applyBorder="1" applyAlignment="1" applyProtection="1">
      <alignment horizontal="center"/>
    </xf>
    <xf numFmtId="0" fontId="3" fillId="0" borderId="50" xfId="0" applyFont="1" applyBorder="1" applyAlignment="1">
      <alignment horizontal="center" vertical="center"/>
    </xf>
    <xf numFmtId="164" fontId="0" fillId="0" borderId="80" xfId="0" applyNumberFormat="1" applyBorder="1" applyAlignment="1">
      <alignment horizontal="center" vertical="center"/>
    </xf>
    <xf numFmtId="1" fontId="0" fillId="0" borderId="10" xfId="0" applyNumberFormat="1" applyBorder="1" applyAlignment="1">
      <alignment horizontal="center" vertical="center"/>
    </xf>
    <xf numFmtId="1" fontId="69" fillId="0" borderId="10" xfId="0" applyNumberFormat="1" applyFont="1" applyBorder="1" applyAlignment="1">
      <alignment horizontal="center" vertical="center"/>
    </xf>
    <xf numFmtId="0" fontId="72" fillId="0" borderId="0" xfId="7" quotePrefix="1"/>
    <xf numFmtId="0" fontId="10" fillId="0" borderId="20" xfId="2" applyFont="1" applyBorder="1" applyAlignment="1">
      <alignment horizontal="center" vertical="center" wrapText="1"/>
    </xf>
    <xf numFmtId="2" fontId="9" fillId="7" borderId="52" xfId="2" applyNumberFormat="1" applyFill="1" applyBorder="1" applyAlignment="1">
      <alignment vertical="center"/>
    </xf>
    <xf numFmtId="0" fontId="10" fillId="0" borderId="9" xfId="2" applyFont="1" applyBorder="1" applyAlignment="1">
      <alignment horizontal="center" vertical="center" wrapText="1"/>
    </xf>
    <xf numFmtId="2" fontId="9" fillId="0" borderId="7" xfId="2" applyNumberFormat="1" applyBorder="1" applyAlignment="1">
      <alignment vertical="center"/>
    </xf>
    <xf numFmtId="0" fontId="10" fillId="0" borderId="11" xfId="2" applyFont="1" applyBorder="1" applyAlignment="1">
      <alignment horizontal="center" vertical="center" wrapText="1"/>
    </xf>
    <xf numFmtId="2" fontId="9" fillId="7" borderId="10" xfId="2" applyNumberFormat="1" applyFill="1" applyBorder="1" applyAlignment="1">
      <alignment vertical="center"/>
    </xf>
    <xf numFmtId="164" fontId="9" fillId="0" borderId="7" xfId="2" applyNumberFormat="1" applyBorder="1" applyAlignment="1">
      <alignment vertical="center"/>
    </xf>
    <xf numFmtId="0" fontId="71" fillId="0" borderId="0" xfId="0" applyFont="1" applyAlignment="1" applyProtection="1">
      <alignment horizontal="center"/>
      <protection hidden="1"/>
    </xf>
    <xf numFmtId="0" fontId="0" fillId="14" borderId="46" xfId="0" applyFill="1" applyBorder="1" applyAlignment="1" applyProtection="1">
      <alignment horizontal="center" vertical="center"/>
      <protection locked="0"/>
    </xf>
    <xf numFmtId="0" fontId="0" fillId="13" borderId="46" xfId="0" applyFill="1" applyBorder="1" applyAlignment="1" applyProtection="1">
      <alignment horizontal="center" vertical="center"/>
      <protection locked="0"/>
    </xf>
    <xf numFmtId="0" fontId="0" fillId="24" borderId="46" xfId="0" applyFill="1" applyBorder="1" applyAlignment="1" applyProtection="1">
      <alignment horizontal="center"/>
      <protection locked="0"/>
    </xf>
    <xf numFmtId="3" fontId="0" fillId="14" borderId="43" xfId="0" applyNumberFormat="1" applyFill="1" applyBorder="1" applyAlignment="1" applyProtection="1">
      <alignment horizontal="center" vertical="center"/>
      <protection locked="0"/>
    </xf>
    <xf numFmtId="3" fontId="0" fillId="13" borderId="43" xfId="0" applyNumberFormat="1" applyFill="1" applyBorder="1" applyAlignment="1" applyProtection="1">
      <alignment horizontal="center" vertical="center"/>
      <protection locked="0"/>
    </xf>
    <xf numFmtId="0" fontId="0" fillId="14" borderId="43" xfId="0" applyFill="1" applyBorder="1" applyAlignment="1" applyProtection="1">
      <alignment horizontal="center" vertical="center"/>
      <protection locked="0"/>
    </xf>
    <xf numFmtId="0" fontId="0" fillId="13" borderId="43" xfId="0" applyFill="1" applyBorder="1" applyAlignment="1" applyProtection="1">
      <alignment horizontal="center" vertical="center"/>
      <protection locked="0"/>
    </xf>
    <xf numFmtId="0" fontId="0" fillId="24" borderId="43" xfId="0" applyFill="1" applyBorder="1" applyAlignment="1" applyProtection="1">
      <alignment horizontal="center"/>
      <protection locked="0"/>
    </xf>
    <xf numFmtId="3" fontId="0" fillId="24" borderId="43" xfId="0" applyNumberFormat="1" applyFill="1" applyBorder="1" applyAlignment="1" applyProtection="1">
      <alignment horizontal="center"/>
      <protection locked="0"/>
    </xf>
    <xf numFmtId="1" fontId="0" fillId="14" borderId="43" xfId="0" applyNumberFormat="1" applyFill="1" applyBorder="1" applyAlignment="1" applyProtection="1">
      <alignment horizontal="center" vertical="center"/>
      <protection locked="0"/>
    </xf>
    <xf numFmtId="1" fontId="0" fillId="13" borderId="43" xfId="0" applyNumberFormat="1" applyFill="1" applyBorder="1" applyAlignment="1" applyProtection="1">
      <alignment horizontal="center" vertical="center"/>
      <protection locked="0"/>
    </xf>
    <xf numFmtId="0" fontId="0" fillId="20" borderId="41" xfId="0" applyFill="1" applyBorder="1" applyAlignment="1">
      <alignment horizontal="center" vertical="center"/>
    </xf>
    <xf numFmtId="0" fontId="0" fillId="20" borderId="41" xfId="0" applyFill="1" applyBorder="1" applyAlignment="1">
      <alignment horizontal="center"/>
    </xf>
    <xf numFmtId="4" fontId="0" fillId="20" borderId="43" xfId="0" applyNumberFormat="1" applyFill="1" applyBorder="1" applyAlignment="1" applyProtection="1">
      <alignment horizontal="center" vertical="center"/>
      <protection hidden="1"/>
    </xf>
    <xf numFmtId="2" fontId="0" fillId="20" borderId="43" xfId="0" applyNumberFormat="1" applyFill="1" applyBorder="1" applyAlignment="1" applyProtection="1">
      <alignment horizontal="center"/>
      <protection hidden="1"/>
    </xf>
    <xf numFmtId="0" fontId="82" fillId="0" borderId="0" xfId="0" applyFont="1"/>
    <xf numFmtId="0" fontId="87" fillId="0" borderId="0" xfId="0" applyFont="1" applyAlignment="1">
      <alignment vertical="center"/>
    </xf>
    <xf numFmtId="0" fontId="88" fillId="0" borderId="0" xfId="0" applyFont="1" applyAlignment="1">
      <alignment vertical="center"/>
    </xf>
    <xf numFmtId="0" fontId="87" fillId="0" borderId="0" xfId="0" applyFont="1" applyAlignment="1">
      <alignment horizontal="center" vertical="center" wrapText="1"/>
    </xf>
    <xf numFmtId="0" fontId="90" fillId="0" borderId="0" xfId="0" applyFont="1" applyAlignment="1">
      <alignment vertical="center"/>
    </xf>
    <xf numFmtId="0" fontId="91" fillId="0" borderId="0" xfId="0" applyFont="1" applyAlignment="1">
      <alignment vertical="center"/>
    </xf>
    <xf numFmtId="0" fontId="90" fillId="0" borderId="0" xfId="0" applyFont="1" applyAlignment="1">
      <alignment horizontal="center" vertical="center"/>
    </xf>
    <xf numFmtId="0" fontId="93" fillId="0" borderId="0" xfId="0" applyFont="1"/>
    <xf numFmtId="0" fontId="93" fillId="0" borderId="0" xfId="0" applyFont="1" applyAlignment="1">
      <alignment horizontal="left"/>
    </xf>
    <xf numFmtId="0" fontId="94" fillId="0" borderId="1" xfId="0" applyFont="1" applyBorder="1" applyAlignment="1" applyProtection="1">
      <alignment horizontal="center" vertical="center"/>
      <protection locked="0"/>
    </xf>
    <xf numFmtId="0" fontId="94" fillId="0" borderId="0" xfId="0" applyFont="1" applyAlignment="1">
      <alignment horizontal="center" vertical="center"/>
    </xf>
    <xf numFmtId="0" fontId="93" fillId="0" borderId="0" xfId="0" applyFont="1" applyAlignment="1">
      <alignment horizontal="center" vertical="center"/>
    </xf>
    <xf numFmtId="0" fontId="89" fillId="0" borderId="0" xfId="0" applyFont="1"/>
    <xf numFmtId="0" fontId="93" fillId="0" borderId="0" xfId="0" applyFont="1" applyAlignment="1">
      <alignment horizontal="right"/>
    </xf>
    <xf numFmtId="3" fontId="93" fillId="0" borderId="0" xfId="0" applyNumberFormat="1" applyFont="1" applyAlignment="1">
      <alignment horizontal="center" vertical="center"/>
    </xf>
    <xf numFmtId="0" fontId="93" fillId="25" borderId="0" xfId="0" applyFont="1" applyFill="1" applyProtection="1">
      <protection locked="0"/>
    </xf>
    <xf numFmtId="0" fontId="89" fillId="0" borderId="0" xfId="0" applyFont="1" applyAlignment="1">
      <alignment horizontal="left"/>
    </xf>
    <xf numFmtId="0" fontId="93" fillId="0" borderId="0" xfId="0" applyFont="1" applyAlignment="1">
      <alignment horizontal="center"/>
    </xf>
    <xf numFmtId="0" fontId="96" fillId="0" borderId="0" xfId="0" applyFont="1"/>
    <xf numFmtId="0" fontId="93" fillId="0" borderId="0" xfId="0" applyFont="1" applyProtection="1">
      <protection locked="0"/>
    </xf>
    <xf numFmtId="0" fontId="98" fillId="0" borderId="0" xfId="0" applyFont="1" applyAlignment="1">
      <alignment horizontal="right"/>
    </xf>
    <xf numFmtId="0" fontId="95" fillId="0" borderId="0" xfId="0" applyFont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93" fillId="0" borderId="0" xfId="0" applyFont="1" applyAlignment="1">
      <alignment horizontal="right" shrinkToFit="1"/>
    </xf>
    <xf numFmtId="0" fontId="0" fillId="0" borderId="0" xfId="0" applyAlignment="1">
      <alignment horizontal="right" shrinkToFit="1"/>
    </xf>
    <xf numFmtId="0" fontId="93" fillId="0" borderId="0" xfId="0" applyFont="1" applyAlignment="1">
      <alignment horizontal="left" shrinkToFit="1"/>
    </xf>
    <xf numFmtId="0" fontId="93" fillId="0" borderId="0" xfId="0" applyFont="1" applyAlignment="1">
      <alignment horizontal="left" wrapText="1"/>
    </xf>
    <xf numFmtId="0" fontId="93" fillId="0" borderId="0" xfId="0" applyFont="1" applyAlignment="1">
      <alignment vertical="center"/>
    </xf>
    <xf numFmtId="0" fontId="2" fillId="22" borderId="35" xfId="0" applyFont="1" applyFill="1" applyBorder="1" applyAlignment="1">
      <alignment horizontal="center"/>
    </xf>
    <xf numFmtId="0" fontId="0" fillId="22" borderId="46" xfId="0" applyFill="1" applyBorder="1" applyAlignment="1" applyProtection="1">
      <alignment horizontal="center"/>
      <protection locked="0"/>
    </xf>
    <xf numFmtId="0" fontId="0" fillId="22" borderId="43" xfId="0" applyFill="1" applyBorder="1" applyAlignment="1" applyProtection="1">
      <alignment horizontal="center"/>
      <protection locked="0"/>
    </xf>
    <xf numFmtId="3" fontId="0" fillId="22" borderId="43" xfId="0" applyNumberFormat="1" applyFill="1" applyBorder="1" applyAlignment="1" applyProtection="1">
      <alignment horizontal="center"/>
      <protection locked="0"/>
    </xf>
    <xf numFmtId="3" fontId="0" fillId="24" borderId="43" xfId="8" applyNumberFormat="1" applyFont="1" applyFill="1" applyBorder="1" applyAlignment="1" applyProtection="1">
      <alignment horizontal="center" vertical="center"/>
      <protection locked="0"/>
    </xf>
    <xf numFmtId="0" fontId="93" fillId="0" borderId="1" xfId="0" applyFont="1" applyBorder="1" applyAlignment="1" applyProtection="1">
      <alignment horizontal="center" vertical="center"/>
      <protection locked="0"/>
    </xf>
    <xf numFmtId="0" fontId="93" fillId="25" borderId="0" xfId="0" applyFont="1" applyFill="1" applyAlignment="1" applyProtection="1">
      <alignment horizontal="left"/>
      <protection locked="0"/>
    </xf>
    <xf numFmtId="3" fontId="93" fillId="0" borderId="0" xfId="0" applyNumberFormat="1" applyFont="1" applyAlignment="1">
      <alignment horizontal="left" vertical="center"/>
    </xf>
    <xf numFmtId="0" fontId="93" fillId="25" borderId="0" xfId="0" applyFont="1" applyFill="1" applyAlignment="1" applyProtection="1">
      <alignment horizontal="right"/>
      <protection locked="0"/>
    </xf>
    <xf numFmtId="0" fontId="82" fillId="0" borderId="0" xfId="0" applyFont="1" applyProtection="1">
      <protection locked="0"/>
    </xf>
    <xf numFmtId="0" fontId="93" fillId="0" borderId="0" xfId="0" applyFont="1" applyAlignment="1" applyProtection="1">
      <alignment horizontal="left"/>
      <protection locked="0"/>
    </xf>
    <xf numFmtId="0" fontId="2" fillId="0" borderId="0" xfId="0" applyFont="1" applyAlignment="1">
      <alignment horizontal="right"/>
    </xf>
    <xf numFmtId="1" fontId="15" fillId="0" borderId="1" xfId="0" applyNumberFormat="1" applyFont="1" applyBorder="1" applyAlignment="1">
      <alignment horizontal="center" vertical="center"/>
    </xf>
    <xf numFmtId="0" fontId="0" fillId="0" borderId="5" xfId="0" applyBorder="1" applyAlignment="1" applyProtection="1">
      <alignment horizontal="center"/>
      <protection hidden="1"/>
    </xf>
    <xf numFmtId="0" fontId="7" fillId="0" borderId="5" xfId="0" applyFont="1" applyBorder="1" applyAlignment="1" applyProtection="1">
      <alignment horizontal="center"/>
      <protection hidden="1"/>
    </xf>
    <xf numFmtId="2" fontId="9" fillId="0" borderId="7" xfId="2" applyNumberFormat="1" applyBorder="1" applyAlignment="1">
      <alignment vertical="center" wrapText="1"/>
    </xf>
    <xf numFmtId="164" fontId="102" fillId="0" borderId="0" xfId="2" applyNumberFormat="1" applyFont="1" applyAlignment="1" applyProtection="1">
      <alignment vertical="center"/>
      <protection locked="0"/>
    </xf>
    <xf numFmtId="0" fontId="3" fillId="0" borderId="0" xfId="0" applyFont="1" applyAlignment="1">
      <alignment horizontal="center"/>
    </xf>
    <xf numFmtId="0" fontId="0" fillId="0" borderId="40" xfId="0" applyBorder="1" applyProtection="1">
      <protection hidden="1"/>
    </xf>
    <xf numFmtId="2" fontId="0" fillId="0" borderId="5" xfId="0" applyNumberFormat="1" applyBorder="1"/>
    <xf numFmtId="0" fontId="40" fillId="2" borderId="1" xfId="0" applyFont="1" applyFill="1" applyBorder="1" applyAlignment="1" applyProtection="1">
      <alignment horizontal="center" vertical="center"/>
      <protection locked="0"/>
    </xf>
    <xf numFmtId="178" fontId="15" fillId="0" borderId="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9" borderId="0" xfId="0" applyFill="1"/>
    <xf numFmtId="0" fontId="104" fillId="0" borderId="1" xfId="0" applyFont="1" applyBorder="1" applyAlignment="1">
      <alignment horizontal="center"/>
    </xf>
    <xf numFmtId="0" fontId="40" fillId="2" borderId="1" xfId="0" applyFont="1" applyFill="1" applyBorder="1" applyAlignment="1" applyProtection="1">
      <alignment horizontal="center"/>
      <protection locked="0"/>
    </xf>
    <xf numFmtId="0" fontId="15" fillId="0" borderId="1" xfId="0" applyFont="1" applyBorder="1" applyAlignment="1">
      <alignment horizontal="center"/>
    </xf>
    <xf numFmtId="3" fontId="15" fillId="0" borderId="1" xfId="0" applyNumberFormat="1" applyFont="1" applyBorder="1" applyAlignment="1">
      <alignment horizontal="center" vertical="center"/>
    </xf>
    <xf numFmtId="0" fontId="15" fillId="0" borderId="1" xfId="0" applyFont="1" applyBorder="1" applyProtection="1">
      <protection hidden="1"/>
    </xf>
    <xf numFmtId="0" fontId="8" fillId="0" borderId="1" xfId="0" applyFont="1" applyBorder="1" applyAlignment="1">
      <alignment horizontal="center" vertical="center"/>
    </xf>
    <xf numFmtId="0" fontId="8" fillId="9" borderId="1" xfId="0" applyFont="1" applyFill="1" applyBorder="1"/>
    <xf numFmtId="0" fontId="4" fillId="0" borderId="0" xfId="0" applyFont="1" applyProtection="1">
      <protection hidden="1"/>
    </xf>
    <xf numFmtId="0" fontId="8" fillId="0" borderId="0" xfId="0" applyFont="1" applyAlignment="1">
      <alignment horizontal="center"/>
    </xf>
    <xf numFmtId="3" fontId="15" fillId="0" borderId="0" xfId="0" applyNumberFormat="1" applyFont="1" applyAlignment="1">
      <alignment horizontal="center"/>
    </xf>
    <xf numFmtId="3" fontId="0" fillId="0" borderId="1" xfId="0" applyNumberFormat="1" applyBorder="1" applyAlignment="1" applyProtection="1">
      <alignment horizontal="center"/>
      <protection hidden="1"/>
    </xf>
    <xf numFmtId="1" fontId="0" fillId="0" borderId="1" xfId="0" applyNumberFormat="1" applyBorder="1" applyAlignment="1" applyProtection="1">
      <alignment horizontal="center"/>
      <protection hidden="1"/>
    </xf>
    <xf numFmtId="49" fontId="0" fillId="0" borderId="0" xfId="0" quotePrefix="1" applyNumberFormat="1"/>
    <xf numFmtId="0" fontId="40" fillId="2" borderId="19" xfId="0" applyFont="1" applyFill="1" applyBorder="1" applyAlignment="1" applyProtection="1">
      <alignment horizontal="center" vertical="center"/>
      <protection locked="0"/>
    </xf>
    <xf numFmtId="0" fontId="40" fillId="2" borderId="6" xfId="0" applyFont="1" applyFill="1" applyBorder="1" applyAlignment="1" applyProtection="1">
      <alignment horizontal="center" vertical="center"/>
      <protection locked="0"/>
    </xf>
    <xf numFmtId="0" fontId="0" fillId="0" borderId="19" xfId="0" applyBorder="1" applyAlignment="1" applyProtection="1">
      <alignment horizontal="center" vertical="center"/>
      <protection hidden="1"/>
    </xf>
    <xf numFmtId="0" fontId="0" fillId="3" borderId="6" xfId="0" applyFill="1" applyBorder="1" applyAlignment="1" applyProtection="1">
      <alignment horizontal="center" vertical="center"/>
      <protection hidden="1"/>
    </xf>
    <xf numFmtId="0" fontId="0" fillId="26" borderId="0" xfId="0" applyFill="1"/>
    <xf numFmtId="0" fontId="0" fillId="26" borderId="0" xfId="0" applyFill="1" applyAlignment="1">
      <alignment horizontal="center"/>
    </xf>
    <xf numFmtId="0" fontId="40" fillId="2" borderId="5" xfId="0" applyFont="1" applyFill="1" applyBorder="1" applyAlignment="1" applyProtection="1">
      <alignment horizontal="center" vertical="center"/>
      <protection locked="0"/>
    </xf>
    <xf numFmtId="0" fontId="40" fillId="2" borderId="5" xfId="0" applyFont="1" applyFill="1" applyBorder="1" applyProtection="1">
      <protection locked="0"/>
    </xf>
    <xf numFmtId="2" fontId="40" fillId="2" borderId="5" xfId="0" applyNumberFormat="1" applyFont="1" applyFill="1" applyBorder="1" applyProtection="1">
      <protection locked="0"/>
    </xf>
    <xf numFmtId="49" fontId="105" fillId="2" borderId="5" xfId="0" applyNumberFormat="1" applyFont="1" applyFill="1" applyBorder="1" applyAlignment="1" applyProtection="1">
      <alignment horizontal="center" vertical="center"/>
      <protection locked="0"/>
    </xf>
    <xf numFmtId="0" fontId="0" fillId="0" borderId="37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4" xfId="0" applyBorder="1" applyAlignment="1">
      <alignment horizontal="center"/>
    </xf>
    <xf numFmtId="3" fontId="0" fillId="0" borderId="13" xfId="0" applyNumberFormat="1" applyBorder="1" applyAlignment="1" applyProtection="1">
      <alignment horizontal="center"/>
      <protection hidden="1"/>
    </xf>
    <xf numFmtId="0" fontId="0" fillId="0" borderId="13" xfId="0" applyBorder="1"/>
    <xf numFmtId="0" fontId="0" fillId="0" borderId="13" xfId="0" quotePrefix="1" applyBorder="1" applyAlignment="1">
      <alignment horizontal="right"/>
    </xf>
    <xf numFmtId="1" fontId="0" fillId="0" borderId="13" xfId="0" applyNumberFormat="1" applyBorder="1" applyAlignment="1" applyProtection="1">
      <alignment horizontal="center"/>
      <protection hidden="1"/>
    </xf>
    <xf numFmtId="3" fontId="0" fillId="0" borderId="12" xfId="0" applyNumberFormat="1" applyBorder="1" applyAlignment="1" applyProtection="1">
      <alignment horizontal="center"/>
      <protection hidden="1"/>
    </xf>
    <xf numFmtId="0" fontId="0" fillId="0" borderId="11" xfId="0" applyBorder="1" applyAlignment="1">
      <alignment horizontal="center"/>
    </xf>
    <xf numFmtId="3" fontId="0" fillId="0" borderId="10" xfId="0" applyNumberFormat="1" applyBorder="1" applyAlignment="1" applyProtection="1">
      <alignment horizontal="center"/>
      <protection hidden="1"/>
    </xf>
    <xf numFmtId="0" fontId="0" fillId="0" borderId="9" xfId="0" applyBorder="1" applyAlignment="1">
      <alignment horizontal="center"/>
    </xf>
    <xf numFmtId="3" fontId="0" fillId="0" borderId="8" xfId="0" applyNumberFormat="1" applyBorder="1" applyAlignment="1" applyProtection="1">
      <alignment horizontal="center"/>
      <protection hidden="1"/>
    </xf>
    <xf numFmtId="0" fontId="0" fillId="0" borderId="8" xfId="0" applyBorder="1"/>
    <xf numFmtId="1" fontId="0" fillId="0" borderId="8" xfId="0" applyNumberFormat="1" applyBorder="1" applyAlignment="1" applyProtection="1">
      <alignment horizontal="center"/>
      <protection hidden="1"/>
    </xf>
    <xf numFmtId="3" fontId="0" fillId="0" borderId="7" xfId="0" applyNumberFormat="1" applyBorder="1" applyAlignment="1" applyProtection="1">
      <alignment horizontal="center"/>
      <protection hidden="1"/>
    </xf>
    <xf numFmtId="3" fontId="0" fillId="0" borderId="19" xfId="0" applyNumberFormat="1" applyBorder="1" applyAlignment="1" applyProtection="1">
      <alignment horizontal="center"/>
      <protection hidden="1"/>
    </xf>
    <xf numFmtId="0" fontId="8" fillId="0" borderId="0" xfId="0" applyFont="1" applyAlignment="1">
      <alignment horizontal="center" vertical="center"/>
    </xf>
    <xf numFmtId="0" fontId="8" fillId="0" borderId="0" xfId="0" applyFont="1"/>
    <xf numFmtId="3" fontId="107" fillId="0" borderId="0" xfId="0" applyNumberFormat="1" applyFont="1" applyAlignment="1">
      <alignment horizontal="center"/>
    </xf>
    <xf numFmtId="0" fontId="71" fillId="0" borderId="0" xfId="0" applyFont="1" applyAlignment="1">
      <alignment horizontal="left" vertical="center"/>
    </xf>
    <xf numFmtId="0" fontId="0" fillId="0" borderId="13" xfId="0" applyBorder="1" applyAlignment="1" applyProtection="1">
      <alignment horizontal="center"/>
      <protection hidden="1"/>
    </xf>
    <xf numFmtId="0" fontId="0" fillId="0" borderId="19" xfId="0" applyBorder="1" applyAlignment="1" applyProtection="1">
      <alignment horizontal="center"/>
      <protection hidden="1"/>
    </xf>
    <xf numFmtId="3" fontId="0" fillId="0" borderId="1" xfId="0" applyNumberFormat="1" applyBorder="1" applyProtection="1">
      <protection hidden="1"/>
    </xf>
    <xf numFmtId="165" fontId="0" fillId="0" borderId="6" xfId="0" applyNumberFormat="1" applyBorder="1" applyProtection="1">
      <protection hidden="1"/>
    </xf>
    <xf numFmtId="0" fontId="89" fillId="0" borderId="0" xfId="0" applyFont="1" applyAlignment="1">
      <alignment horizontal="right"/>
    </xf>
    <xf numFmtId="0" fontId="2" fillId="17" borderId="1" xfId="0" applyFont="1" applyFill="1" applyBorder="1" applyAlignment="1">
      <alignment horizontal="center"/>
    </xf>
    <xf numFmtId="0" fontId="106" fillId="0" borderId="0" xfId="0" applyFont="1" applyAlignment="1">
      <alignment horizontal="center" wrapText="1"/>
    </xf>
    <xf numFmtId="0" fontId="2" fillId="0" borderId="1" xfId="0" applyFont="1" applyBorder="1" applyAlignment="1">
      <alignment horizontal="right"/>
    </xf>
    <xf numFmtId="0" fontId="2" fillId="0" borderId="1" xfId="0" applyFont="1" applyBorder="1" applyAlignment="1">
      <alignment horizontal="right" vertical="center"/>
    </xf>
    <xf numFmtId="0" fontId="8" fillId="0" borderId="1" xfId="0" applyFont="1" applyBorder="1" applyAlignment="1">
      <alignment horizontal="right"/>
    </xf>
    <xf numFmtId="0" fontId="8" fillId="0" borderId="6" xfId="0" applyFont="1" applyBorder="1" applyAlignment="1">
      <alignment horizontal="right"/>
    </xf>
    <xf numFmtId="0" fontId="105" fillId="2" borderId="1" xfId="0" applyFont="1" applyFill="1" applyBorder="1" applyProtection="1">
      <protection locked="0"/>
    </xf>
    <xf numFmtId="0" fontId="105" fillId="2" borderId="1" xfId="0" applyFont="1" applyFill="1" applyBorder="1" applyAlignment="1" applyProtection="1">
      <alignment horizontal="center" vertical="center"/>
      <protection locked="0"/>
    </xf>
    <xf numFmtId="49" fontId="108" fillId="2" borderId="35" xfId="1" applyNumberFormat="1" applyFont="1" applyFill="1" applyBorder="1" applyAlignment="1" applyProtection="1">
      <alignment horizontal="center"/>
      <protection locked="0"/>
    </xf>
    <xf numFmtId="0" fontId="9" fillId="0" borderId="35" xfId="1" applyBorder="1" applyAlignment="1" applyProtection="1">
      <alignment horizontal="center" vertical="center"/>
    </xf>
    <xf numFmtId="172" fontId="108" fillId="2" borderId="10" xfId="1" applyNumberFormat="1" applyFont="1" applyFill="1" applyBorder="1" applyAlignment="1" applyProtection="1">
      <alignment horizontal="center"/>
      <protection locked="0"/>
    </xf>
    <xf numFmtId="0" fontId="93" fillId="0" borderId="0" xfId="0" applyFont="1" applyAlignment="1">
      <alignment horizontal="left" vertical="center"/>
    </xf>
    <xf numFmtId="0" fontId="93" fillId="0" borderId="0" xfId="0" applyFont="1" applyAlignment="1">
      <alignment horizontal="left" vertical="center" shrinkToFit="1"/>
    </xf>
    <xf numFmtId="0" fontId="89" fillId="0" borderId="0" xfId="0" applyFont="1" applyAlignment="1">
      <alignment horizontal="center"/>
    </xf>
    <xf numFmtId="0" fontId="93" fillId="0" borderId="0" xfId="0" applyFont="1" applyAlignment="1">
      <alignment shrinkToFit="1"/>
    </xf>
    <xf numFmtId="0" fontId="99" fillId="0" borderId="0" xfId="0" applyFont="1" applyAlignment="1">
      <alignment horizontal="right"/>
    </xf>
    <xf numFmtId="0" fontId="92" fillId="0" borderId="0" xfId="0" applyFont="1" applyAlignment="1">
      <alignment horizontal="center" vertical="top"/>
    </xf>
    <xf numFmtId="3" fontId="93" fillId="0" borderId="0" xfId="0" applyNumberFormat="1" applyFont="1" applyAlignment="1">
      <alignment horizontal="right" vertical="center"/>
    </xf>
    <xf numFmtId="0" fontId="89" fillId="0" borderId="0" xfId="0" applyFont="1" applyAlignment="1">
      <alignment horizontal="center" vertical="center"/>
    </xf>
    <xf numFmtId="0" fontId="89" fillId="0" borderId="0" xfId="0" applyFont="1" applyAlignment="1">
      <alignment horizontal="right" vertical="center"/>
    </xf>
    <xf numFmtId="0" fontId="93" fillId="0" borderId="0" xfId="0" applyFont="1" applyAlignment="1">
      <alignment horizontal="right" vertical="center"/>
    </xf>
    <xf numFmtId="2" fontId="0" fillId="0" borderId="1" xfId="0" applyNumberFormat="1" applyBorder="1" applyAlignment="1" applyProtection="1">
      <alignment horizontal="center" vertical="center"/>
      <protection hidden="1"/>
    </xf>
    <xf numFmtId="3" fontId="0" fillId="0" borderId="1" xfId="8" applyNumberFormat="1" applyFont="1" applyBorder="1" applyAlignment="1" applyProtection="1">
      <alignment horizontal="center" vertical="center"/>
      <protection hidden="1"/>
    </xf>
    <xf numFmtId="0" fontId="0" fillId="0" borderId="82" xfId="0" applyBorder="1" applyAlignment="1" applyProtection="1">
      <alignment horizontal="center" vertical="center"/>
      <protection hidden="1"/>
    </xf>
    <xf numFmtId="0" fontId="2" fillId="0" borderId="0" xfId="0" applyFont="1" applyProtection="1"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1" fontId="0" fillId="0" borderId="1" xfId="0" applyNumberFormat="1" applyBorder="1" applyAlignment="1" applyProtection="1">
      <alignment horizontal="center" vertical="center"/>
      <protection hidden="1"/>
    </xf>
    <xf numFmtId="0" fontId="8" fillId="0" borderId="1" xfId="0" applyFont="1" applyBorder="1" applyAlignment="1" applyProtection="1">
      <alignment horizontal="center"/>
      <protection hidden="1"/>
    </xf>
    <xf numFmtId="0" fontId="7" fillId="0" borderId="0" xfId="0" applyFont="1"/>
    <xf numFmtId="0" fontId="7" fillId="0" borderId="0" xfId="0" applyFont="1" applyProtection="1">
      <protection hidden="1"/>
    </xf>
    <xf numFmtId="0" fontId="0" fillId="0" borderId="1" xfId="0" applyBorder="1" applyAlignment="1" applyProtection="1">
      <alignment horizontal="left" vertical="center"/>
      <protection hidden="1"/>
    </xf>
    <xf numFmtId="0" fontId="0" fillId="0" borderId="13" xfId="0" applyBorder="1" applyAlignment="1" applyProtection="1">
      <alignment horizontal="left"/>
      <protection hidden="1"/>
    </xf>
    <xf numFmtId="0" fontId="0" fillId="0" borderId="8" xfId="0" applyBorder="1" applyAlignment="1" applyProtection="1">
      <alignment horizontal="left" vertical="center"/>
      <protection hidden="1"/>
    </xf>
    <xf numFmtId="164" fontId="0" fillId="0" borderId="53" xfId="0" applyNumberFormat="1" applyBorder="1" applyAlignment="1" applyProtection="1">
      <alignment horizontal="left" vertical="center"/>
      <protection hidden="1"/>
    </xf>
    <xf numFmtId="0" fontId="0" fillId="0" borderId="5" xfId="0" applyBorder="1" applyAlignment="1" applyProtection="1">
      <alignment horizontal="left"/>
      <protection hidden="1"/>
    </xf>
    <xf numFmtId="0" fontId="0" fillId="0" borderId="3" xfId="0" applyBorder="1" applyAlignment="1" applyProtection="1">
      <alignment horizontal="right"/>
      <protection hidden="1"/>
    </xf>
    <xf numFmtId="1" fontId="0" fillId="24" borderId="43" xfId="0" applyNumberFormat="1" applyFill="1" applyBorder="1" applyAlignment="1" applyProtection="1">
      <alignment horizontal="center"/>
      <protection locked="0"/>
    </xf>
    <xf numFmtId="1" fontId="0" fillId="22" borderId="43" xfId="0" applyNumberFormat="1" applyFill="1" applyBorder="1" applyAlignment="1" applyProtection="1">
      <alignment horizontal="center"/>
      <protection locked="0"/>
    </xf>
    <xf numFmtId="0" fontId="40" fillId="2" borderId="1" xfId="0" applyFont="1" applyFill="1" applyBorder="1" applyAlignment="1" applyProtection="1">
      <alignment horizontal="center" vertical="center"/>
      <protection locked="0" hidden="1"/>
    </xf>
    <xf numFmtId="0" fontId="89" fillId="0" borderId="0" xfId="0" applyFont="1" applyAlignment="1">
      <alignment horizontal="right"/>
    </xf>
    <xf numFmtId="0" fontId="93" fillId="0" borderId="0" xfId="0" applyFont="1" applyAlignment="1">
      <alignment horizontal="right"/>
    </xf>
    <xf numFmtId="0" fontId="93" fillId="0" borderId="81" xfId="0" applyFont="1" applyBorder="1" applyAlignment="1">
      <alignment horizontal="right"/>
    </xf>
    <xf numFmtId="3" fontId="93" fillId="25" borderId="3" xfId="0" applyNumberFormat="1" applyFont="1" applyFill="1" applyBorder="1" applyAlignment="1" applyProtection="1">
      <alignment horizontal="center" vertical="center"/>
      <protection locked="0"/>
    </xf>
    <xf numFmtId="3" fontId="93" fillId="25" borderId="4" xfId="0" applyNumberFormat="1" applyFont="1" applyFill="1" applyBorder="1" applyAlignment="1" applyProtection="1">
      <alignment horizontal="center" vertical="center"/>
      <protection locked="0"/>
    </xf>
    <xf numFmtId="3" fontId="93" fillId="25" borderId="5" xfId="0" applyNumberFormat="1" applyFont="1" applyFill="1" applyBorder="1" applyAlignment="1" applyProtection="1">
      <alignment horizontal="center" vertical="center"/>
      <protection locked="0"/>
    </xf>
    <xf numFmtId="0" fontId="93" fillId="25" borderId="1" xfId="0" applyFont="1" applyFill="1" applyBorder="1" applyAlignment="1" applyProtection="1">
      <alignment horizontal="center" vertical="center"/>
      <protection locked="0"/>
    </xf>
    <xf numFmtId="3" fontId="93" fillId="0" borderId="3" xfId="0" applyNumberFormat="1" applyFont="1" applyBorder="1" applyAlignment="1" applyProtection="1">
      <alignment horizontal="center" vertical="center"/>
      <protection locked="0"/>
    </xf>
    <xf numFmtId="3" fontId="93" fillId="0" borderId="4" xfId="0" applyNumberFormat="1" applyFont="1" applyBorder="1" applyAlignment="1" applyProtection="1">
      <alignment horizontal="center" vertical="center"/>
      <protection locked="0"/>
    </xf>
    <xf numFmtId="3" fontId="93" fillId="0" borderId="5" xfId="0" applyNumberFormat="1" applyFont="1" applyBorder="1" applyAlignment="1" applyProtection="1">
      <alignment horizontal="center" vertical="center"/>
      <protection locked="0"/>
    </xf>
    <xf numFmtId="0" fontId="94" fillId="25" borderId="3" xfId="0" applyFont="1" applyFill="1" applyBorder="1" applyAlignment="1" applyProtection="1">
      <alignment horizontal="center"/>
      <protection locked="0"/>
    </xf>
    <xf numFmtId="0" fontId="94" fillId="25" borderId="5" xfId="0" applyFont="1" applyFill="1" applyBorder="1" applyAlignment="1" applyProtection="1">
      <alignment horizontal="center"/>
      <protection locked="0"/>
    </xf>
    <xf numFmtId="0" fontId="89" fillId="0" borderId="81" xfId="0" applyFont="1" applyBorder="1" applyAlignment="1">
      <alignment horizontal="right"/>
    </xf>
    <xf numFmtId="0" fontId="93" fillId="25" borderId="3" xfId="0" applyFont="1" applyFill="1" applyBorder="1" applyAlignment="1" applyProtection="1">
      <alignment horizontal="left" vertical="center" shrinkToFit="1"/>
      <protection locked="0"/>
    </xf>
    <xf numFmtId="0" fontId="93" fillId="25" borderId="4" xfId="0" applyFont="1" applyFill="1" applyBorder="1" applyAlignment="1" applyProtection="1">
      <alignment horizontal="left" vertical="center" shrinkToFit="1"/>
      <protection locked="0"/>
    </xf>
    <xf numFmtId="0" fontId="93" fillId="25" borderId="5" xfId="0" applyFont="1" applyFill="1" applyBorder="1" applyAlignment="1" applyProtection="1">
      <alignment horizontal="left" vertical="center" shrinkToFit="1"/>
      <protection locked="0"/>
    </xf>
    <xf numFmtId="0" fontId="89" fillId="0" borderId="2" xfId="0" applyFont="1" applyBorder="1" applyAlignment="1">
      <alignment horizontal="right"/>
    </xf>
    <xf numFmtId="49" fontId="93" fillId="25" borderId="1" xfId="0" quotePrefix="1" applyNumberFormat="1" applyFont="1" applyFill="1" applyBorder="1" applyAlignment="1" applyProtection="1">
      <alignment horizontal="left" vertical="center"/>
      <protection locked="0"/>
    </xf>
    <xf numFmtId="49" fontId="93" fillId="25" borderId="1" xfId="0" applyNumberFormat="1" applyFont="1" applyFill="1" applyBorder="1" applyAlignment="1" applyProtection="1">
      <alignment horizontal="left" vertical="center"/>
      <protection locked="0"/>
    </xf>
    <xf numFmtId="0" fontId="93" fillId="25" borderId="3" xfId="0" applyFont="1" applyFill="1" applyBorder="1" applyAlignment="1" applyProtection="1">
      <alignment horizontal="left" vertical="center"/>
      <protection locked="0"/>
    </xf>
    <xf numFmtId="0" fontId="93" fillId="25" borderId="4" xfId="0" applyFont="1" applyFill="1" applyBorder="1" applyAlignment="1" applyProtection="1">
      <alignment horizontal="left" vertical="center"/>
      <protection locked="0"/>
    </xf>
    <xf numFmtId="0" fontId="93" fillId="25" borderId="5" xfId="0" applyFont="1" applyFill="1" applyBorder="1" applyAlignment="1" applyProtection="1">
      <alignment horizontal="left" vertical="center"/>
      <protection locked="0"/>
    </xf>
    <xf numFmtId="0" fontId="83" fillId="0" borderId="0" xfId="0" applyFont="1" applyAlignment="1">
      <alignment horizontal="center"/>
    </xf>
    <xf numFmtId="0" fontId="84" fillId="0" borderId="0" xfId="0" applyFont="1" applyAlignment="1">
      <alignment horizontal="center" vertical="center" wrapText="1"/>
    </xf>
    <xf numFmtId="14" fontId="94" fillId="25" borderId="3" xfId="0" applyNumberFormat="1" applyFont="1" applyFill="1" applyBorder="1" applyAlignment="1" applyProtection="1">
      <alignment horizontal="center" vertical="center"/>
      <protection locked="0"/>
    </xf>
    <xf numFmtId="14" fontId="94" fillId="25" borderId="4" xfId="0" applyNumberFormat="1" applyFont="1" applyFill="1" applyBorder="1" applyAlignment="1" applyProtection="1">
      <alignment horizontal="center" vertical="center"/>
      <protection locked="0"/>
    </xf>
    <xf numFmtId="14" fontId="94" fillId="25" borderId="5" xfId="0" applyNumberFormat="1" applyFont="1" applyFill="1" applyBorder="1" applyAlignment="1" applyProtection="1">
      <alignment horizontal="center" vertical="center"/>
      <protection locked="0"/>
    </xf>
    <xf numFmtId="0" fontId="92" fillId="0" borderId="4" xfId="0" applyFont="1" applyBorder="1" applyAlignment="1">
      <alignment horizontal="center" vertical="top"/>
    </xf>
    <xf numFmtId="0" fontId="93" fillId="25" borderId="1" xfId="0" applyFont="1" applyFill="1" applyBorder="1" applyAlignment="1" applyProtection="1">
      <alignment horizontal="left" vertical="center"/>
      <protection locked="0"/>
    </xf>
    <xf numFmtId="0" fontId="95" fillId="0" borderId="0" xfId="0" applyFont="1" applyAlignment="1">
      <alignment horizontal="right"/>
    </xf>
    <xf numFmtId="0" fontId="95" fillId="0" borderId="81" xfId="0" applyFont="1" applyBorder="1" applyAlignment="1">
      <alignment horizontal="right"/>
    </xf>
    <xf numFmtId="0" fontId="93" fillId="25" borderId="1" xfId="0" applyFont="1" applyFill="1" applyBorder="1" applyAlignment="1" applyProtection="1">
      <alignment horizontal="left" vertical="center" shrinkToFit="1"/>
      <protection locked="0"/>
    </xf>
    <xf numFmtId="49" fontId="93" fillId="25" borderId="3" xfId="0" quotePrefix="1" applyNumberFormat="1" applyFont="1" applyFill="1" applyBorder="1" applyAlignment="1" applyProtection="1">
      <alignment horizontal="left" vertical="center"/>
      <protection locked="0"/>
    </xf>
    <xf numFmtId="49" fontId="93" fillId="25" borderId="4" xfId="0" applyNumberFormat="1" applyFont="1" applyFill="1" applyBorder="1" applyAlignment="1" applyProtection="1">
      <alignment horizontal="left" vertical="center"/>
      <protection locked="0"/>
    </xf>
    <xf numFmtId="49" fontId="93" fillId="25" borderId="5" xfId="0" applyNumberFormat="1" applyFont="1" applyFill="1" applyBorder="1" applyAlignment="1" applyProtection="1">
      <alignment horizontal="left" vertical="center"/>
      <protection locked="0"/>
    </xf>
    <xf numFmtId="0" fontId="72" fillId="25" borderId="1" xfId="7" applyFill="1" applyBorder="1" applyAlignment="1" applyProtection="1">
      <alignment horizontal="left" vertical="center" shrinkToFit="1"/>
      <protection locked="0"/>
    </xf>
    <xf numFmtId="0" fontId="0" fillId="25" borderId="3" xfId="0" applyFill="1" applyBorder="1" applyAlignment="1" applyProtection="1">
      <alignment horizontal="left"/>
      <protection locked="0"/>
    </xf>
    <xf numFmtId="0" fontId="0" fillId="25" borderId="4" xfId="0" applyFill="1" applyBorder="1" applyAlignment="1" applyProtection="1">
      <alignment horizontal="left"/>
      <protection locked="0"/>
    </xf>
    <xf numFmtId="0" fontId="0" fillId="25" borderId="5" xfId="0" applyFill="1" applyBorder="1" applyAlignment="1" applyProtection="1">
      <alignment horizontal="left"/>
      <protection locked="0"/>
    </xf>
    <xf numFmtId="0" fontId="93" fillId="25" borderId="3" xfId="0" applyFont="1" applyFill="1" applyBorder="1" applyAlignment="1" applyProtection="1">
      <alignment horizontal="center" vertical="center" shrinkToFit="1"/>
      <protection locked="0"/>
    </xf>
    <xf numFmtId="0" fontId="93" fillId="25" borderId="4" xfId="0" applyFont="1" applyFill="1" applyBorder="1" applyAlignment="1" applyProtection="1">
      <alignment horizontal="center" vertical="center" shrinkToFit="1"/>
      <protection locked="0"/>
    </xf>
    <xf numFmtId="0" fontId="93" fillId="25" borderId="5" xfId="0" applyFont="1" applyFill="1" applyBorder="1" applyAlignment="1" applyProtection="1">
      <alignment horizontal="center" vertical="center" shrinkToFit="1"/>
      <protection locked="0"/>
    </xf>
    <xf numFmtId="0" fontId="95" fillId="0" borderId="2" xfId="0" applyFont="1" applyBorder="1" applyAlignment="1">
      <alignment horizontal="right"/>
    </xf>
    <xf numFmtId="0" fontId="93" fillId="25" borderId="3" xfId="0" applyFont="1" applyFill="1" applyBorder="1" applyAlignment="1" applyProtection="1">
      <alignment horizontal="center" vertical="center"/>
      <protection locked="0"/>
    </xf>
    <xf numFmtId="0" fontId="93" fillId="25" borderId="5" xfId="0" applyFont="1" applyFill="1" applyBorder="1" applyAlignment="1" applyProtection="1">
      <alignment horizontal="center" vertical="center"/>
      <protection locked="0"/>
    </xf>
    <xf numFmtId="3" fontId="93" fillId="25" borderId="1" xfId="0" applyNumberFormat="1" applyFont="1" applyFill="1" applyBorder="1" applyAlignment="1" applyProtection="1">
      <alignment horizontal="center" vertical="center"/>
      <protection locked="0"/>
    </xf>
    <xf numFmtId="3" fontId="93" fillId="0" borderId="1" xfId="0" applyNumberFormat="1" applyFont="1" applyBorder="1" applyAlignment="1" applyProtection="1">
      <alignment horizontal="center" vertical="center"/>
      <protection locked="0"/>
    </xf>
    <xf numFmtId="3" fontId="93" fillId="25" borderId="3" xfId="0" applyNumberFormat="1" applyFont="1" applyFill="1" applyBorder="1" applyAlignment="1" applyProtection="1">
      <alignment horizontal="center"/>
      <protection locked="0"/>
    </xf>
    <xf numFmtId="3" fontId="93" fillId="25" borderId="4" xfId="0" applyNumberFormat="1" applyFont="1" applyFill="1" applyBorder="1" applyAlignment="1" applyProtection="1">
      <alignment horizontal="center"/>
      <protection locked="0"/>
    </xf>
    <xf numFmtId="3" fontId="93" fillId="25" borderId="5" xfId="0" applyNumberFormat="1" applyFont="1" applyFill="1" applyBorder="1" applyAlignment="1" applyProtection="1">
      <alignment horizontal="center"/>
      <protection locked="0"/>
    </xf>
    <xf numFmtId="0" fontId="0" fillId="25" borderId="3" xfId="0" applyFill="1" applyBorder="1" applyAlignment="1" applyProtection="1">
      <alignment horizontal="center"/>
      <protection locked="0"/>
    </xf>
    <xf numFmtId="0" fontId="0" fillId="25" borderId="5" xfId="0" applyFill="1" applyBorder="1" applyAlignment="1" applyProtection="1">
      <alignment horizontal="center"/>
      <protection locked="0"/>
    </xf>
    <xf numFmtId="3" fontId="93" fillId="0" borderId="3" xfId="0" applyNumberFormat="1" applyFont="1" applyBorder="1" applyAlignment="1" applyProtection="1">
      <alignment horizontal="center"/>
      <protection locked="0"/>
    </xf>
    <xf numFmtId="3" fontId="93" fillId="0" borderId="4" xfId="0" applyNumberFormat="1" applyFont="1" applyBorder="1" applyAlignment="1" applyProtection="1">
      <alignment horizontal="center"/>
      <protection locked="0"/>
    </xf>
    <xf numFmtId="3" fontId="93" fillId="0" borderId="5" xfId="0" applyNumberFormat="1" applyFont="1" applyBorder="1" applyAlignment="1" applyProtection="1">
      <alignment horizontal="center"/>
      <protection locked="0"/>
    </xf>
    <xf numFmtId="0" fontId="89" fillId="0" borderId="0" xfId="0" applyFont="1" applyAlignment="1">
      <alignment horizontal="center" vertical="center"/>
    </xf>
    <xf numFmtId="0" fontId="92" fillId="0" borderId="0" xfId="0" applyFont="1" applyAlignment="1">
      <alignment horizontal="right"/>
    </xf>
    <xf numFmtId="0" fontId="92" fillId="0" borderId="81" xfId="0" applyFont="1" applyBorder="1" applyAlignment="1">
      <alignment horizontal="right"/>
    </xf>
    <xf numFmtId="0" fontId="93" fillId="25" borderId="3" xfId="0" applyFont="1" applyFill="1" applyBorder="1" applyAlignment="1" applyProtection="1">
      <alignment horizontal="center"/>
      <protection locked="0"/>
    </xf>
    <xf numFmtId="0" fontId="93" fillId="25" borderId="4" xfId="0" applyFont="1" applyFill="1" applyBorder="1" applyAlignment="1" applyProtection="1">
      <alignment horizontal="center"/>
      <protection locked="0"/>
    </xf>
    <xf numFmtId="0" fontId="93" fillId="25" borderId="5" xfId="0" applyFont="1" applyFill="1" applyBorder="1" applyAlignment="1" applyProtection="1">
      <alignment horizontal="center"/>
      <protection locked="0"/>
    </xf>
    <xf numFmtId="0" fontId="93" fillId="0" borderId="3" xfId="0" applyFont="1" applyBorder="1" applyAlignment="1" applyProtection="1">
      <alignment horizontal="left"/>
      <protection locked="0"/>
    </xf>
    <xf numFmtId="0" fontId="93" fillId="0" borderId="4" xfId="0" applyFont="1" applyBorder="1" applyAlignment="1" applyProtection="1">
      <alignment horizontal="left"/>
      <protection locked="0"/>
    </xf>
    <xf numFmtId="0" fontId="93" fillId="0" borderId="5" xfId="0" applyFont="1" applyBorder="1" applyAlignment="1" applyProtection="1">
      <alignment horizontal="left"/>
      <protection locked="0"/>
    </xf>
    <xf numFmtId="0" fontId="89" fillId="0" borderId="0" xfId="0" applyFont="1" applyAlignment="1">
      <alignment horizontal="left"/>
    </xf>
    <xf numFmtId="0" fontId="93" fillId="0" borderId="0" xfId="0" applyFont="1" applyAlignment="1">
      <alignment horizontal="left"/>
    </xf>
    <xf numFmtId="0" fontId="93" fillId="0" borderId="3" xfId="0" applyFont="1" applyBorder="1" applyAlignment="1" applyProtection="1">
      <alignment horizontal="center" vertical="center"/>
      <protection locked="0"/>
    </xf>
    <xf numFmtId="0" fontId="93" fillId="0" borderId="4" xfId="0" applyFont="1" applyBorder="1" applyAlignment="1" applyProtection="1">
      <alignment horizontal="center" vertical="center"/>
      <protection locked="0"/>
    </xf>
    <xf numFmtId="0" fontId="93" fillId="0" borderId="5" xfId="0" applyFont="1" applyBorder="1" applyAlignment="1" applyProtection="1">
      <alignment horizontal="center" vertical="center"/>
      <protection locked="0"/>
    </xf>
    <xf numFmtId="0" fontId="93" fillId="25" borderId="4" xfId="0" applyFont="1" applyFill="1" applyBorder="1" applyAlignment="1" applyProtection="1">
      <alignment horizontal="center" vertical="center"/>
      <protection locked="0"/>
    </xf>
    <xf numFmtId="0" fontId="93" fillId="0" borderId="0" xfId="0" applyFont="1" applyAlignment="1">
      <alignment horizontal="right" shrinkToFit="1"/>
    </xf>
    <xf numFmtId="0" fontId="93" fillId="0" borderId="81" xfId="0" applyFont="1" applyBorder="1" applyAlignment="1">
      <alignment horizontal="right" shrinkToFit="1"/>
    </xf>
    <xf numFmtId="0" fontId="93" fillId="0" borderId="2" xfId="0" applyFont="1" applyBorder="1" applyAlignment="1">
      <alignment horizontal="center" shrinkToFit="1"/>
    </xf>
    <xf numFmtId="0" fontId="93" fillId="0" borderId="0" xfId="0" applyFont="1" applyAlignment="1">
      <alignment horizontal="center" shrinkToFit="1"/>
    </xf>
    <xf numFmtId="0" fontId="93" fillId="0" borderId="3" xfId="0" applyFont="1" applyBorder="1" applyAlignment="1" applyProtection="1">
      <alignment horizontal="center"/>
      <protection locked="0"/>
    </xf>
    <xf numFmtId="0" fontId="93" fillId="0" borderId="5" xfId="0" applyFont="1" applyBorder="1" applyAlignment="1" applyProtection="1">
      <alignment horizontal="center"/>
      <protection locked="0"/>
    </xf>
    <xf numFmtId="0" fontId="92" fillId="0" borderId="0" xfId="0" applyFont="1" applyAlignment="1">
      <alignment horizontal="center" vertical="top"/>
    </xf>
    <xf numFmtId="0" fontId="93" fillId="0" borderId="2" xfId="0" applyFont="1" applyBorder="1" applyAlignment="1">
      <alignment horizontal="right"/>
    </xf>
    <xf numFmtId="0" fontId="93" fillId="0" borderId="1" xfId="0" applyFont="1" applyBorder="1" applyAlignment="1" applyProtection="1">
      <alignment horizontal="center" vertical="center"/>
      <protection locked="0"/>
    </xf>
    <xf numFmtId="0" fontId="93" fillId="23" borderId="4" xfId="0" applyFont="1" applyFill="1" applyBorder="1" applyAlignment="1" applyProtection="1">
      <alignment horizontal="left"/>
      <protection locked="0"/>
    </xf>
    <xf numFmtId="0" fontId="0" fillId="0" borderId="0" xfId="0" applyAlignment="1">
      <alignment horizontal="right"/>
    </xf>
    <xf numFmtId="0" fontId="93" fillId="23" borderId="55" xfId="0" applyFont="1" applyFill="1" applyBorder="1" applyAlignment="1" applyProtection="1">
      <alignment horizontal="left"/>
      <protection locked="0"/>
    </xf>
    <xf numFmtId="14" fontId="94" fillId="0" borderId="3" xfId="0" applyNumberFormat="1" applyFont="1" applyBorder="1" applyAlignment="1" applyProtection="1">
      <alignment horizontal="center" vertical="center"/>
      <protection locked="0"/>
    </xf>
    <xf numFmtId="0" fontId="94" fillId="0" borderId="4" xfId="0" applyFont="1" applyBorder="1" applyAlignment="1" applyProtection="1">
      <alignment horizontal="center" vertical="center"/>
      <protection locked="0"/>
    </xf>
    <xf numFmtId="0" fontId="94" fillId="0" borderId="5" xfId="0" applyFont="1" applyBorder="1" applyAlignment="1" applyProtection="1">
      <alignment horizontal="center" vertical="center"/>
      <protection locked="0"/>
    </xf>
    <xf numFmtId="0" fontId="92" fillId="0" borderId="38" xfId="0" applyFont="1" applyBorder="1" applyAlignment="1">
      <alignment horizontal="center" vertical="top"/>
    </xf>
    <xf numFmtId="0" fontId="94" fillId="25" borderId="4" xfId="0" applyFont="1" applyFill="1" applyBorder="1" applyAlignment="1" applyProtection="1">
      <alignment horizontal="center" vertical="center"/>
      <protection locked="0"/>
    </xf>
    <xf numFmtId="0" fontId="94" fillId="25" borderId="5" xfId="0" applyFont="1" applyFill="1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2" fillId="17" borderId="3" xfId="0" applyFont="1" applyFill="1" applyBorder="1" applyAlignment="1" applyProtection="1">
      <alignment horizontal="left" vertical="center"/>
      <protection locked="0"/>
    </xf>
    <xf numFmtId="0" fontId="2" fillId="17" borderId="5" xfId="0" applyFont="1" applyFill="1" applyBorder="1" applyAlignment="1" applyProtection="1">
      <alignment horizontal="left" vertical="center"/>
      <protection locked="0"/>
    </xf>
    <xf numFmtId="14" fontId="2" fillId="17" borderId="3" xfId="0" applyNumberFormat="1" applyFont="1" applyFill="1" applyBorder="1" applyAlignment="1" applyProtection="1">
      <alignment horizontal="left" vertical="center"/>
      <protection locked="0"/>
    </xf>
    <xf numFmtId="14" fontId="2" fillId="17" borderId="5" xfId="0" applyNumberFormat="1" applyFont="1" applyFill="1" applyBorder="1" applyAlignment="1" applyProtection="1">
      <alignment horizontal="left" vertical="center"/>
      <protection locked="0"/>
    </xf>
    <xf numFmtId="0" fontId="2" fillId="17" borderId="1" xfId="0" applyFont="1" applyFill="1" applyBorder="1" applyAlignment="1" applyProtection="1">
      <alignment horizontal="left" vertical="center"/>
      <protection locked="0"/>
    </xf>
    <xf numFmtId="0" fontId="0" fillId="0" borderId="76" xfId="0" applyBorder="1" applyProtection="1">
      <protection locked="0"/>
    </xf>
    <xf numFmtId="0" fontId="0" fillId="0" borderId="74" xfId="0" applyBorder="1" applyProtection="1">
      <protection locked="0"/>
    </xf>
    <xf numFmtId="0" fontId="0" fillId="20" borderId="3" xfId="0" applyFill="1" applyBorder="1" applyAlignment="1" applyProtection="1">
      <alignment horizontal="center"/>
      <protection locked="0"/>
    </xf>
    <xf numFmtId="0" fontId="0" fillId="20" borderId="5" xfId="0" applyFill="1" applyBorder="1" applyAlignment="1" applyProtection="1">
      <alignment horizontal="center"/>
      <protection locked="0"/>
    </xf>
    <xf numFmtId="0" fontId="59" fillId="4" borderId="75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/>
    </xf>
    <xf numFmtId="0" fontId="2" fillId="0" borderId="1" xfId="0" applyFont="1" applyBorder="1" applyAlignment="1" applyProtection="1">
      <alignment horizontal="center"/>
      <protection hidden="1"/>
    </xf>
    <xf numFmtId="14" fontId="2" fillId="0" borderId="1" xfId="0" applyNumberFormat="1" applyFont="1" applyBorder="1" applyAlignment="1" applyProtection="1">
      <alignment horizontal="center"/>
      <protection hidden="1"/>
    </xf>
    <xf numFmtId="0" fontId="66" fillId="5" borderId="1" xfId="0" applyFont="1" applyFill="1" applyBorder="1" applyAlignment="1">
      <alignment horizontal="center"/>
    </xf>
    <xf numFmtId="0" fontId="66" fillId="5" borderId="3" xfId="0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0" fontId="2" fillId="5" borderId="4" xfId="0" applyFont="1" applyFill="1" applyBorder="1" applyAlignment="1">
      <alignment horizontal="center"/>
    </xf>
    <xf numFmtId="0" fontId="15" fillId="0" borderId="1" xfId="0" applyFont="1" applyBorder="1" applyAlignment="1" applyProtection="1">
      <alignment horizontal="center"/>
      <protection hidden="1"/>
    </xf>
    <xf numFmtId="0" fontId="0" fillId="0" borderId="36" xfId="0" applyBorder="1" applyAlignment="1" applyProtection="1">
      <alignment horizontal="center"/>
      <protection hidden="1"/>
    </xf>
    <xf numFmtId="0" fontId="0" fillId="0" borderId="5" xfId="0" applyBorder="1" applyAlignment="1" applyProtection="1">
      <alignment horizontal="center"/>
      <protection hidden="1"/>
    </xf>
    <xf numFmtId="0" fontId="0" fillId="0" borderId="3" xfId="0" applyBorder="1" applyAlignment="1" applyProtection="1">
      <alignment horizontal="center"/>
      <protection hidden="1"/>
    </xf>
    <xf numFmtId="0" fontId="59" fillId="4" borderId="3" xfId="0" applyFont="1" applyFill="1" applyBorder="1" applyAlignment="1">
      <alignment horizontal="center"/>
    </xf>
    <xf numFmtId="0" fontId="59" fillId="4" borderId="4" xfId="0" applyFont="1" applyFill="1" applyBorder="1" applyAlignment="1">
      <alignment horizontal="center"/>
    </xf>
    <xf numFmtId="0" fontId="59" fillId="4" borderId="5" xfId="0" applyFont="1" applyFill="1" applyBorder="1" applyAlignment="1">
      <alignment horizontal="center"/>
    </xf>
    <xf numFmtId="0" fontId="2" fillId="5" borderId="5" xfId="0" applyFont="1" applyFill="1" applyBorder="1" applyAlignment="1">
      <alignment horizontal="center"/>
    </xf>
    <xf numFmtId="0" fontId="2" fillId="5" borderId="3" xfId="0" applyFont="1" applyFill="1" applyBorder="1" applyAlignment="1" applyProtection="1">
      <alignment horizontal="center"/>
      <protection hidden="1"/>
    </xf>
    <xf numFmtId="0" fontId="2" fillId="5" borderId="4" xfId="0" applyFont="1" applyFill="1" applyBorder="1" applyAlignment="1" applyProtection="1">
      <alignment horizontal="center"/>
      <protection hidden="1"/>
    </xf>
    <xf numFmtId="0" fontId="2" fillId="5" borderId="5" xfId="0" applyFont="1" applyFill="1" applyBorder="1" applyAlignment="1" applyProtection="1">
      <alignment horizontal="center"/>
      <protection hidden="1"/>
    </xf>
    <xf numFmtId="0" fontId="0" fillId="0" borderId="3" xfId="0" applyBorder="1" applyAlignment="1" applyProtection="1">
      <alignment horizontal="center" vertical="center"/>
      <protection hidden="1"/>
    </xf>
    <xf numFmtId="0" fontId="0" fillId="0" borderId="5" xfId="0" applyBorder="1" applyAlignment="1" applyProtection="1">
      <alignment horizontal="center" vertical="center"/>
      <protection hidden="1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38" xfId="0" applyBorder="1" applyAlignment="1">
      <alignment horizontal="center"/>
    </xf>
    <xf numFmtId="0" fontId="0" fillId="0" borderId="4" xfId="0" applyBorder="1" applyAlignment="1">
      <alignment horizontal="center"/>
    </xf>
    <xf numFmtId="0" fontId="2" fillId="5" borderId="37" xfId="0" applyFont="1" applyFill="1" applyBorder="1" applyAlignment="1">
      <alignment horizontal="center"/>
    </xf>
    <xf numFmtId="0" fontId="2" fillId="5" borderId="38" xfId="0" applyFont="1" applyFill="1" applyBorder="1" applyAlignment="1">
      <alignment horizontal="center"/>
    </xf>
    <xf numFmtId="0" fontId="2" fillId="5" borderId="39" xfId="0" applyFont="1" applyFill="1" applyBorder="1" applyAlignment="1">
      <alignment horizontal="center"/>
    </xf>
    <xf numFmtId="0" fontId="59" fillId="4" borderId="76" xfId="0" applyFont="1" applyFill="1" applyBorder="1" applyAlignment="1">
      <alignment horizontal="center"/>
    </xf>
    <xf numFmtId="0" fontId="59" fillId="4" borderId="78" xfId="0" applyFont="1" applyFill="1" applyBorder="1" applyAlignment="1">
      <alignment horizontal="center"/>
    </xf>
    <xf numFmtId="0" fontId="59" fillId="4" borderId="74" xfId="0" applyFont="1" applyFill="1" applyBorder="1" applyAlignment="1">
      <alignment horizontal="center"/>
    </xf>
    <xf numFmtId="0" fontId="59" fillId="4" borderId="1" xfId="0" applyFont="1" applyFill="1" applyBorder="1" applyAlignment="1">
      <alignment horizontal="center"/>
    </xf>
    <xf numFmtId="0" fontId="0" fillId="0" borderId="1" xfId="0" applyBorder="1" applyAlignment="1" applyProtection="1">
      <alignment horizontal="center"/>
      <protection hidden="1"/>
    </xf>
    <xf numFmtId="0" fontId="59" fillId="4" borderId="0" xfId="0" applyFont="1" applyFill="1" applyAlignment="1">
      <alignment horizontal="center" vertical="center"/>
    </xf>
    <xf numFmtId="2" fontId="0" fillId="0" borderId="3" xfId="0" applyNumberFormat="1" applyBorder="1" applyAlignment="1" applyProtection="1">
      <alignment horizontal="center"/>
      <protection hidden="1"/>
    </xf>
    <xf numFmtId="2" fontId="0" fillId="0" borderId="5" xfId="0" applyNumberFormat="1" applyBorder="1" applyAlignment="1" applyProtection="1">
      <alignment horizontal="center"/>
      <protection hidden="1"/>
    </xf>
    <xf numFmtId="0" fontId="2" fillId="0" borderId="0" xfId="0" applyFont="1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8" fillId="0" borderId="1" xfId="0" applyFont="1" applyBorder="1" applyAlignment="1">
      <alignment horizontal="right"/>
    </xf>
    <xf numFmtId="0" fontId="3" fillId="0" borderId="0" xfId="0" applyFont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8" fillId="0" borderId="1" xfId="0" applyFont="1" applyBorder="1" applyAlignment="1">
      <alignment horizontal="center"/>
    </xf>
    <xf numFmtId="0" fontId="4" fillId="0" borderId="2" xfId="0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105" fillId="2" borderId="3" xfId="0" applyFont="1" applyFill="1" applyBorder="1" applyAlignment="1" applyProtection="1">
      <alignment horizontal="center"/>
      <protection locked="0"/>
    </xf>
    <xf numFmtId="0" fontId="105" fillId="2" borderId="5" xfId="0" applyFont="1" applyFill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right" vertical="center"/>
    </xf>
    <xf numFmtId="0" fontId="106" fillId="2" borderId="0" xfId="0" applyFont="1" applyFill="1" applyAlignment="1">
      <alignment horizontal="center" wrapText="1"/>
    </xf>
    <xf numFmtId="0" fontId="0" fillId="0" borderId="3" xfId="0" applyBorder="1" applyAlignment="1">
      <alignment horizontal="right"/>
    </xf>
    <xf numFmtId="0" fontId="0" fillId="0" borderId="5" xfId="0" applyBorder="1" applyAlignment="1">
      <alignment horizontal="right"/>
    </xf>
    <xf numFmtId="0" fontId="2" fillId="0" borderId="3" xfId="0" applyFont="1" applyBorder="1" applyAlignment="1">
      <alignment horizontal="right"/>
    </xf>
    <xf numFmtId="0" fontId="2" fillId="0" borderId="5" xfId="0" applyFont="1" applyBorder="1" applyAlignment="1">
      <alignment horizontal="right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14" fontId="0" fillId="0" borderId="3" xfId="0" applyNumberFormat="1" applyBorder="1" applyAlignment="1" applyProtection="1">
      <alignment horizontal="left"/>
      <protection hidden="1"/>
    </xf>
    <xf numFmtId="0" fontId="0" fillId="0" borderId="4" xfId="0" applyBorder="1" applyAlignment="1" applyProtection="1">
      <alignment horizontal="left"/>
      <protection hidden="1"/>
    </xf>
    <xf numFmtId="0" fontId="0" fillId="0" borderId="5" xfId="0" applyBorder="1" applyAlignment="1" applyProtection="1">
      <alignment horizontal="left"/>
      <protection hidden="1"/>
    </xf>
    <xf numFmtId="49" fontId="0" fillId="0" borderId="1" xfId="0" applyNumberFormat="1" applyBorder="1" applyAlignment="1" applyProtection="1">
      <alignment horizontal="left"/>
      <protection hidden="1"/>
    </xf>
    <xf numFmtId="49" fontId="0" fillId="0" borderId="3" xfId="0" applyNumberFormat="1" applyBorder="1" applyAlignment="1" applyProtection="1">
      <alignment horizontal="left"/>
      <protection hidden="1"/>
    </xf>
    <xf numFmtId="49" fontId="0" fillId="0" borderId="4" xfId="0" applyNumberFormat="1" applyBorder="1" applyAlignment="1" applyProtection="1">
      <alignment horizontal="left"/>
      <protection hidden="1"/>
    </xf>
    <xf numFmtId="49" fontId="0" fillId="0" borderId="5" xfId="0" applyNumberFormat="1" applyBorder="1" applyAlignment="1" applyProtection="1">
      <alignment horizontal="left"/>
      <protection hidden="1"/>
    </xf>
    <xf numFmtId="0" fontId="60" fillId="0" borderId="3" xfId="0" applyFont="1" applyBorder="1" applyAlignment="1" applyProtection="1">
      <alignment horizontal="center"/>
      <protection locked="0"/>
    </xf>
    <xf numFmtId="0" fontId="60" fillId="0" borderId="5" xfId="0" applyFont="1" applyBorder="1" applyAlignment="1" applyProtection="1">
      <alignment horizontal="center"/>
      <protection locked="0"/>
    </xf>
    <xf numFmtId="0" fontId="0" fillId="0" borderId="1" xfId="0" applyBorder="1" applyAlignment="1">
      <alignment horizontal="left"/>
    </xf>
    <xf numFmtId="0" fontId="3" fillId="0" borderId="1" xfId="0" applyFont="1" applyBorder="1" applyAlignment="1">
      <alignment horizontal="center" vertical="center"/>
    </xf>
    <xf numFmtId="0" fontId="8" fillId="0" borderId="3" xfId="0" applyFont="1" applyBorder="1" applyAlignment="1" applyProtection="1">
      <alignment horizontal="left"/>
      <protection hidden="1"/>
    </xf>
    <xf numFmtId="0" fontId="8" fillId="0" borderId="5" xfId="0" applyFont="1" applyBorder="1" applyAlignment="1" applyProtection="1">
      <alignment horizontal="left"/>
      <protection hidden="1"/>
    </xf>
    <xf numFmtId="14" fontId="0" fillId="0" borderId="3" xfId="0" applyNumberFormat="1" applyBorder="1" applyAlignment="1" applyProtection="1">
      <alignment horizontal="left"/>
      <protection locked="0"/>
    </xf>
    <xf numFmtId="0" fontId="0" fillId="0" borderId="4" xfId="0" applyBorder="1" applyAlignment="1" applyProtection="1">
      <alignment horizontal="left"/>
      <protection locked="0"/>
    </xf>
    <xf numFmtId="0" fontId="0" fillId="0" borderId="5" xfId="0" applyBorder="1" applyAlignment="1" applyProtection="1">
      <alignment horizontal="left"/>
      <protection locked="0"/>
    </xf>
    <xf numFmtId="0" fontId="0" fillId="0" borderId="1" xfId="0" applyBorder="1" applyAlignment="1" applyProtection="1">
      <alignment horizontal="left"/>
      <protection locked="0"/>
    </xf>
    <xf numFmtId="0" fontId="0" fillId="0" borderId="3" xfId="0" applyBorder="1" applyAlignment="1" applyProtection="1">
      <alignment horizontal="left"/>
      <protection locked="0"/>
    </xf>
    <xf numFmtId="0" fontId="71" fillId="0" borderId="0" xfId="0" applyFont="1" applyAlignment="1">
      <alignment horizontal="center" wrapText="1"/>
    </xf>
    <xf numFmtId="0" fontId="3" fillId="0" borderId="1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12" fillId="0" borderId="0" xfId="1" applyFont="1" applyAlignment="1">
      <alignment horizontal="center"/>
    </xf>
    <xf numFmtId="0" fontId="9" fillId="0" borderId="34" xfId="1" applyBorder="1" applyAlignment="1">
      <alignment horizontal="center"/>
    </xf>
    <xf numFmtId="0" fontId="9" fillId="0" borderId="33" xfId="1" applyBorder="1" applyAlignment="1">
      <alignment horizontal="center"/>
    </xf>
    <xf numFmtId="0" fontId="9" fillId="0" borderId="32" xfId="1" applyBorder="1" applyAlignment="1">
      <alignment horizontal="center"/>
    </xf>
    <xf numFmtId="0" fontId="9" fillId="0" borderId="31" xfId="1" applyBorder="1" applyAlignment="1">
      <alignment horizontal="center"/>
    </xf>
    <xf numFmtId="0" fontId="9" fillId="0" borderId="30" xfId="1" applyBorder="1" applyAlignment="1">
      <alignment horizontal="center"/>
    </xf>
    <xf numFmtId="0" fontId="9" fillId="0" borderId="29" xfId="1" applyBorder="1" applyAlignment="1">
      <alignment horizontal="center"/>
    </xf>
    <xf numFmtId="0" fontId="9" fillId="0" borderId="28" xfId="1" applyBorder="1" applyAlignment="1">
      <alignment horizontal="center"/>
    </xf>
    <xf numFmtId="0" fontId="9" fillId="0" borderId="27" xfId="1" applyBorder="1" applyAlignment="1">
      <alignment horizontal="center"/>
    </xf>
    <xf numFmtId="0" fontId="9" fillId="0" borderId="26" xfId="1" applyBorder="1" applyAlignment="1">
      <alignment horizontal="center"/>
    </xf>
    <xf numFmtId="0" fontId="9" fillId="0" borderId="24" xfId="1" applyBorder="1" applyAlignment="1">
      <alignment horizontal="center"/>
    </xf>
    <xf numFmtId="0" fontId="9" fillId="0" borderId="75" xfId="1" applyBorder="1" applyAlignment="1">
      <alignment horizontal="center"/>
    </xf>
    <xf numFmtId="0" fontId="9" fillId="0" borderId="22" xfId="1" applyBorder="1" applyAlignment="1">
      <alignment horizontal="center"/>
    </xf>
    <xf numFmtId="0" fontId="10" fillId="0" borderId="14" xfId="1" applyFont="1" applyBorder="1" applyAlignment="1">
      <alignment horizontal="center" vertical="center"/>
    </xf>
    <xf numFmtId="0" fontId="10" fillId="0" borderId="11" xfId="1" applyFont="1" applyBorder="1" applyAlignment="1">
      <alignment horizontal="center" vertical="center"/>
    </xf>
    <xf numFmtId="0" fontId="10" fillId="0" borderId="9" xfId="1" applyFont="1" applyBorder="1" applyAlignment="1">
      <alignment horizontal="center" vertical="center"/>
    </xf>
    <xf numFmtId="0" fontId="10" fillId="0" borderId="30" xfId="1" applyFont="1" applyBorder="1" applyAlignment="1">
      <alignment horizontal="center" vertical="center"/>
    </xf>
    <xf numFmtId="0" fontId="10" fillId="0" borderId="29" xfId="1" applyFont="1" applyBorder="1" applyAlignment="1">
      <alignment horizontal="center" vertical="center"/>
    </xf>
    <xf numFmtId="0" fontId="10" fillId="0" borderId="21" xfId="1" applyFont="1" applyBorder="1" applyAlignment="1">
      <alignment horizontal="center" vertical="center"/>
    </xf>
    <xf numFmtId="0" fontId="10" fillId="0" borderId="25" xfId="1" applyFont="1" applyBorder="1" applyAlignment="1">
      <alignment horizontal="center" vertical="center"/>
    </xf>
    <xf numFmtId="0" fontId="13" fillId="0" borderId="3" xfId="1" applyFont="1" applyBorder="1" applyAlignment="1" applyProtection="1">
      <alignment horizontal="left"/>
      <protection hidden="1"/>
    </xf>
    <xf numFmtId="0" fontId="13" fillId="0" borderId="4" xfId="1" applyFont="1" applyBorder="1" applyAlignment="1" applyProtection="1">
      <alignment horizontal="left"/>
      <protection hidden="1"/>
    </xf>
    <xf numFmtId="0" fontId="13" fillId="0" borderId="5" xfId="1" applyFont="1" applyBorder="1" applyAlignment="1" applyProtection="1">
      <alignment horizontal="left"/>
      <protection hidden="1"/>
    </xf>
    <xf numFmtId="14" fontId="13" fillId="0" borderId="3" xfId="1" applyNumberFormat="1" applyFont="1" applyBorder="1" applyAlignment="1" applyProtection="1">
      <alignment horizontal="left"/>
      <protection hidden="1"/>
    </xf>
    <xf numFmtId="0" fontId="13" fillId="0" borderId="1" xfId="1" applyFont="1" applyBorder="1" applyAlignment="1" applyProtection="1">
      <alignment horizontal="left"/>
      <protection hidden="1"/>
    </xf>
    <xf numFmtId="0" fontId="10" fillId="0" borderId="20" xfId="1" applyFont="1" applyBorder="1" applyAlignment="1">
      <alignment horizontal="center" vertical="center"/>
    </xf>
    <xf numFmtId="0" fontId="0" fillId="0" borderId="1" xfId="0" applyBorder="1" applyAlignment="1" applyProtection="1">
      <alignment horizontal="left" vertical="center"/>
      <protection hidden="1"/>
    </xf>
    <xf numFmtId="14" fontId="0" fillId="0" borderId="1" xfId="0" quotePrefix="1" applyNumberFormat="1" applyBorder="1" applyAlignment="1" applyProtection="1">
      <alignment horizontal="left" vertical="center"/>
      <protection hidden="1"/>
    </xf>
    <xf numFmtId="14" fontId="0" fillId="0" borderId="1" xfId="0" applyNumberFormat="1" applyBorder="1" applyAlignment="1" applyProtection="1">
      <alignment horizontal="left" vertical="center"/>
      <protection hidden="1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Alignment="1">
      <alignment horizontal="left"/>
    </xf>
    <xf numFmtId="0" fontId="40" fillId="2" borderId="3" xfId="0" applyFont="1" applyFill="1" applyBorder="1" applyAlignment="1" applyProtection="1">
      <alignment horizontal="center" vertical="center"/>
      <protection locked="0"/>
    </xf>
    <xf numFmtId="0" fontId="40" fillId="2" borderId="5" xfId="0" applyFont="1" applyFill="1" applyBorder="1" applyAlignment="1" applyProtection="1">
      <alignment horizontal="center" vertical="center"/>
      <protection locked="0"/>
    </xf>
    <xf numFmtId="0" fontId="0" fillId="3" borderId="3" xfId="0" applyFill="1" applyBorder="1" applyAlignment="1" applyProtection="1">
      <alignment horizontal="center" vertical="center"/>
      <protection hidden="1"/>
    </xf>
    <xf numFmtId="0" fontId="0" fillId="3" borderId="5" xfId="0" applyFill="1" applyBorder="1" applyAlignment="1" applyProtection="1">
      <alignment horizontal="center" vertical="center"/>
      <protection hidden="1"/>
    </xf>
    <xf numFmtId="0" fontId="9" fillId="0" borderId="1" xfId="2" applyBorder="1" applyAlignment="1" applyProtection="1">
      <alignment horizontal="left" vertical="center"/>
      <protection hidden="1"/>
    </xf>
    <xf numFmtId="14" fontId="9" fillId="0" borderId="1" xfId="2" applyNumberFormat="1" applyBorder="1" applyAlignment="1" applyProtection="1">
      <alignment horizontal="left" vertical="center"/>
      <protection hidden="1"/>
    </xf>
    <xf numFmtId="0" fontId="26" fillId="0" borderId="0" xfId="2" applyFont="1" applyAlignment="1">
      <alignment horizontal="center"/>
    </xf>
    <xf numFmtId="0" fontId="9" fillId="0" borderId="0" xfId="2" applyAlignment="1">
      <alignment horizontal="center"/>
    </xf>
    <xf numFmtId="0" fontId="9" fillId="0" borderId="1" xfId="2" applyBorder="1" applyAlignment="1" applyProtection="1">
      <alignment horizontal="left"/>
      <protection hidden="1"/>
    </xf>
    <xf numFmtId="14" fontId="9" fillId="0" borderId="1" xfId="2" applyNumberFormat="1" applyBorder="1" applyAlignment="1" applyProtection="1">
      <alignment horizontal="left"/>
      <protection hidden="1"/>
    </xf>
    <xf numFmtId="0" fontId="2" fillId="9" borderId="1" xfId="0" applyFont="1" applyFill="1" applyBorder="1" applyAlignment="1">
      <alignment horizontal="center" vertical="center"/>
    </xf>
    <xf numFmtId="0" fontId="0" fillId="0" borderId="3" xfId="0" applyBorder="1" applyAlignment="1" applyProtection="1">
      <alignment horizontal="left"/>
      <protection hidden="1"/>
    </xf>
    <xf numFmtId="0" fontId="0" fillId="0" borderId="37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0" xfId="0" applyProtection="1">
      <protection locked="0"/>
    </xf>
    <xf numFmtId="0" fontId="0" fillId="0" borderId="0" xfId="0"/>
    <xf numFmtId="0" fontId="40" fillId="2" borderId="3" xfId="0" applyFont="1" applyFill="1" applyBorder="1" applyAlignment="1" applyProtection="1">
      <alignment horizontal="left" vertical="center"/>
      <protection locked="0"/>
    </xf>
    <xf numFmtId="0" fontId="40" fillId="2" borderId="5" xfId="0" applyFont="1" applyFill="1" applyBorder="1" applyAlignment="1" applyProtection="1">
      <alignment horizontal="left" vertical="center"/>
      <protection locked="0"/>
    </xf>
    <xf numFmtId="0" fontId="52" fillId="0" borderId="28" xfId="0" applyFont="1" applyBorder="1" applyAlignment="1">
      <alignment horizontal="center" vertical="center" wrapText="1"/>
    </xf>
    <xf numFmtId="0" fontId="0" fillId="0" borderId="27" xfId="0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0" fontId="0" fillId="0" borderId="56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52" xfId="0" applyBorder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51" fillId="0" borderId="62" xfId="0" applyFont="1" applyBorder="1" applyAlignment="1">
      <alignment horizontal="center" vertical="center" wrapText="1"/>
    </xf>
    <xf numFmtId="0" fontId="51" fillId="0" borderId="63" xfId="0" applyFont="1" applyBorder="1" applyAlignment="1">
      <alignment horizontal="center" vertical="center" wrapText="1"/>
    </xf>
    <xf numFmtId="0" fontId="51" fillId="0" borderId="64" xfId="0" applyFont="1" applyBorder="1" applyAlignment="1">
      <alignment horizontal="center" vertical="center" wrapText="1"/>
    </xf>
    <xf numFmtId="0" fontId="56" fillId="0" borderId="62" xfId="0" applyFont="1" applyBorder="1" applyAlignment="1">
      <alignment horizontal="center" vertical="center" wrapText="1"/>
    </xf>
    <xf numFmtId="0" fontId="56" fillId="0" borderId="63" xfId="0" applyFont="1" applyBorder="1" applyAlignment="1">
      <alignment wrapText="1"/>
    </xf>
    <xf numFmtId="0" fontId="56" fillId="0" borderId="64" xfId="0" applyFont="1" applyBorder="1" applyAlignment="1">
      <alignment wrapText="1"/>
    </xf>
    <xf numFmtId="0" fontId="56" fillId="0" borderId="63" xfId="0" applyFont="1" applyBorder="1" applyAlignment="1">
      <alignment horizontal="center" vertical="center" wrapText="1"/>
    </xf>
    <xf numFmtId="0" fontId="56" fillId="0" borderId="64" xfId="0" applyFont="1" applyBorder="1" applyAlignment="1">
      <alignment horizontal="center" vertical="center" wrapText="1"/>
    </xf>
    <xf numFmtId="1" fontId="51" fillId="0" borderId="0" xfId="0" applyNumberFormat="1" applyFont="1" applyAlignment="1">
      <alignment horizontal="right" vertical="center"/>
    </xf>
    <xf numFmtId="1" fontId="52" fillId="0" borderId="71" xfId="0" applyNumberFormat="1" applyFont="1" applyBorder="1" applyAlignment="1">
      <alignment horizontal="right"/>
    </xf>
    <xf numFmtId="0" fontId="51" fillId="0" borderId="0" xfId="0" applyFont="1"/>
    <xf numFmtId="0" fontId="56" fillId="0" borderId="69" xfId="0" applyFont="1" applyBorder="1" applyAlignment="1">
      <alignment wrapText="1"/>
    </xf>
    <xf numFmtId="0" fontId="56" fillId="0" borderId="69" xfId="0" applyFont="1" applyBorder="1"/>
    <xf numFmtId="0" fontId="56" fillId="0" borderId="69" xfId="0" applyFont="1" applyBorder="1" applyAlignment="1">
      <alignment horizontal="center" vertical="center" wrapText="1"/>
    </xf>
    <xf numFmtId="0" fontId="0" fillId="0" borderId="63" xfId="0" applyBorder="1"/>
    <xf numFmtId="0" fontId="0" fillId="0" borderId="64" xfId="0" applyBorder="1"/>
    <xf numFmtId="0" fontId="57" fillId="0" borderId="58" xfId="0" applyFont="1" applyBorder="1" applyAlignment="1">
      <alignment horizontal="right"/>
    </xf>
    <xf numFmtId="0" fontId="46" fillId="0" borderId="0" xfId="5" applyFont="1" applyAlignment="1">
      <alignment horizontal="center"/>
    </xf>
    <xf numFmtId="0" fontId="43" fillId="0" borderId="0" xfId="5" applyAlignment="1">
      <alignment horizontal="center"/>
    </xf>
    <xf numFmtId="0" fontId="0" fillId="0" borderId="1" xfId="0" applyBorder="1" applyAlignment="1">
      <alignment horizontal="left" vertical="center"/>
    </xf>
    <xf numFmtId="0" fontId="0" fillId="9" borderId="19" xfId="0" applyFill="1" applyBorder="1" applyAlignment="1">
      <alignment horizontal="center" vertical="center"/>
    </xf>
    <xf numFmtId="0" fontId="0" fillId="9" borderId="6" xfId="0" applyFill="1" applyBorder="1" applyAlignment="1">
      <alignment horizontal="center" vertical="center"/>
    </xf>
    <xf numFmtId="0" fontId="40" fillId="2" borderId="3" xfId="0" applyFont="1" applyFill="1" applyBorder="1" applyAlignment="1" applyProtection="1">
      <alignment horizontal="center" vertical="top"/>
      <protection locked="0"/>
    </xf>
    <xf numFmtId="0" fontId="40" fillId="2" borderId="5" xfId="0" applyFont="1" applyFill="1" applyBorder="1" applyAlignment="1" applyProtection="1">
      <alignment horizontal="center" vertical="top"/>
      <protection locked="0"/>
    </xf>
    <xf numFmtId="0" fontId="13" fillId="0" borderId="3" xfId="4" applyFont="1" applyBorder="1" applyAlignment="1" applyProtection="1">
      <alignment horizontal="center"/>
      <protection hidden="1"/>
    </xf>
    <xf numFmtId="0" fontId="13" fillId="0" borderId="4" xfId="4" applyFont="1" applyBorder="1" applyAlignment="1" applyProtection="1">
      <alignment horizontal="center"/>
      <protection hidden="1"/>
    </xf>
    <xf numFmtId="14" fontId="13" fillId="0" borderId="3" xfId="4" applyNumberFormat="1" applyFont="1" applyBorder="1" applyAlignment="1" applyProtection="1">
      <alignment horizontal="center"/>
      <protection hidden="1"/>
    </xf>
    <xf numFmtId="0" fontId="13" fillId="0" borderId="5" xfId="4" applyFont="1" applyBorder="1" applyAlignment="1" applyProtection="1">
      <alignment horizontal="center"/>
      <protection hidden="1"/>
    </xf>
    <xf numFmtId="0" fontId="0" fillId="0" borderId="3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0" fillId="0" borderId="0" xfId="0" applyAlignment="1">
      <alignment horizontal="center" vertical="center"/>
    </xf>
    <xf numFmtId="0" fontId="13" fillId="0" borderId="0" xfId="0" applyFont="1" applyAlignment="1">
      <alignment horizontal="center"/>
    </xf>
    <xf numFmtId="14" fontId="0" fillId="0" borderId="4" xfId="0" applyNumberFormat="1" applyBorder="1" applyAlignment="1" applyProtection="1">
      <alignment horizontal="left"/>
      <protection locked="0"/>
    </xf>
    <xf numFmtId="14" fontId="0" fillId="0" borderId="5" xfId="0" applyNumberFormat="1" applyBorder="1" applyAlignment="1" applyProtection="1">
      <alignment horizontal="left"/>
      <protection locked="0"/>
    </xf>
    <xf numFmtId="0" fontId="40" fillId="2" borderId="1" xfId="0" applyFont="1" applyFill="1" applyBorder="1" applyAlignment="1" applyProtection="1">
      <alignment horizontal="center" vertical="top"/>
      <protection locked="0"/>
    </xf>
    <xf numFmtId="0" fontId="0" fillId="0" borderId="1" xfId="0" applyBorder="1" applyAlignment="1">
      <alignment horizontal="center" vertical="top"/>
    </xf>
    <xf numFmtId="0" fontId="9" fillId="0" borderId="0" xfId="0" applyFont="1"/>
  </cellXfs>
  <cellStyles count="9">
    <cellStyle name="Comma" xfId="8" builtinId="3"/>
    <cellStyle name="Comma 2" xfId="6" xr:uid="{745841D6-73D3-4FAC-BFD7-C1B4F73E3DCA}"/>
    <cellStyle name="Hyperlink" xfId="7" builtinId="8"/>
    <cellStyle name="Normal" xfId="0" builtinId="0"/>
    <cellStyle name="Normal 2" xfId="1" xr:uid="{98235BB4-4E90-46B3-A71F-CEE7E0D69322}"/>
    <cellStyle name="Normal 2 2" xfId="2" xr:uid="{F5FD8A0D-C2EE-420A-938D-FF80E05563E5}"/>
    <cellStyle name="Normal 2 3" xfId="5" xr:uid="{1DB0F64F-0254-4080-A76D-060EB489CEC9}"/>
    <cellStyle name="Normal 3" xfId="4" xr:uid="{566DE4C8-61D3-443A-808A-ADDB1891878B}"/>
    <cellStyle name="Percent 2" xfId="3" xr:uid="{61B8B7E5-483E-42DE-8F66-816C6A898A41}"/>
  </cellStyles>
  <dxfs count="395">
    <dxf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b/>
        <i val="0"/>
        <strike/>
        <condense val="0"/>
        <extend val="0"/>
        <color indexed="10"/>
      </font>
    </dxf>
    <dxf>
      <font>
        <b/>
        <i val="0"/>
        <strike/>
        <condense val="0"/>
        <extend val="0"/>
        <color indexed="10"/>
      </font>
    </dxf>
    <dxf>
      <font>
        <b/>
        <i val="0"/>
        <strike/>
        <condense val="0"/>
        <extend val="0"/>
        <color indexed="10"/>
      </font>
    </dxf>
    <dxf>
      <font>
        <b/>
        <i val="0"/>
        <strike/>
        <condense val="0"/>
        <extend val="0"/>
        <color indexed="10"/>
      </font>
    </dxf>
    <dxf>
      <font>
        <b/>
        <i val="0"/>
        <strike/>
        <condense val="0"/>
        <extend val="0"/>
        <color indexed="10"/>
      </font>
    </dxf>
    <dxf>
      <font>
        <b/>
        <i val="0"/>
        <strike/>
        <condense val="0"/>
        <extend val="0"/>
        <color indexed="10"/>
      </font>
    </dxf>
    <dxf>
      <font>
        <b/>
        <i val="0"/>
        <strike/>
        <condense val="0"/>
        <extend val="0"/>
        <color indexed="10"/>
      </font>
    </dxf>
    <dxf>
      <font>
        <b/>
        <i val="0"/>
        <strike/>
        <condense val="0"/>
        <extend val="0"/>
        <color indexed="10"/>
      </font>
    </dxf>
    <dxf>
      <font>
        <b/>
        <i val="0"/>
        <strike/>
        <condense val="0"/>
        <extend val="0"/>
        <color indexed="10"/>
      </font>
    </dxf>
    <dxf>
      <font>
        <b/>
        <i val="0"/>
        <strike/>
        <condense val="0"/>
        <extend val="0"/>
        <color indexed="10"/>
      </font>
    </dxf>
    <dxf>
      <font>
        <b/>
        <i val="0"/>
        <strike/>
        <condense val="0"/>
        <extend val="0"/>
        <color indexed="10"/>
      </font>
    </dxf>
    <dxf>
      <font>
        <b/>
        <i val="0"/>
        <strike/>
        <condense val="0"/>
        <extend val="0"/>
        <color indexed="10"/>
      </font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993300"/>
      </font>
      <fill>
        <patternFill>
          <bgColor rgb="FFFFFF99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ndense val="0"/>
        <extend val="0"/>
        <color indexed="17"/>
      </font>
    </dxf>
    <dxf>
      <font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17"/>
      </font>
    </dxf>
    <dxf>
      <font>
        <condense val="0"/>
        <extend val="0"/>
        <color indexed="10"/>
      </font>
      <fill>
        <patternFill patternType="none">
          <bgColor indexed="6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ont>
        <color rgb="FF993300"/>
      </font>
      <fill>
        <patternFill>
          <bgColor rgb="FFFFFF99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ndense val="0"/>
        <extend val="0"/>
        <color indexed="17"/>
      </font>
    </dxf>
    <dxf>
      <font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17"/>
      </font>
    </dxf>
    <dxf>
      <font>
        <condense val="0"/>
        <extend val="0"/>
        <color indexed="10"/>
      </font>
      <fill>
        <patternFill patternType="none">
          <bgColor indexed="6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ont>
        <color rgb="FF993300"/>
      </font>
      <fill>
        <patternFill>
          <bgColor rgb="FFFFFF99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ndense val="0"/>
        <extend val="0"/>
        <color indexed="17"/>
      </font>
    </dxf>
    <dxf>
      <font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17"/>
      </font>
    </dxf>
    <dxf>
      <font>
        <condense val="0"/>
        <extend val="0"/>
        <color indexed="10"/>
      </font>
      <fill>
        <patternFill patternType="none">
          <bgColor indexed="6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ont>
        <color rgb="FF993300"/>
      </font>
      <fill>
        <patternFill>
          <bgColor rgb="FFFFFF99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ndense val="0"/>
        <extend val="0"/>
        <color indexed="17"/>
      </font>
    </dxf>
    <dxf>
      <font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17"/>
      </font>
    </dxf>
    <dxf>
      <font>
        <condense val="0"/>
        <extend val="0"/>
        <color indexed="10"/>
      </font>
      <fill>
        <patternFill patternType="none">
          <bgColor indexed="6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ont>
        <color rgb="FF993300"/>
      </font>
      <fill>
        <patternFill>
          <bgColor rgb="FFFFFF99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ndense val="0"/>
        <extend val="0"/>
        <color indexed="17"/>
      </font>
    </dxf>
    <dxf>
      <font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17"/>
      </font>
    </dxf>
    <dxf>
      <font>
        <condense val="0"/>
        <extend val="0"/>
        <color indexed="10"/>
      </font>
      <fill>
        <patternFill patternType="none">
          <bgColor indexed="6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ont>
        <color rgb="FF993300"/>
      </font>
      <fill>
        <patternFill>
          <bgColor rgb="FFFFFF99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ndense val="0"/>
        <extend val="0"/>
        <color indexed="17"/>
      </font>
    </dxf>
    <dxf>
      <font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17"/>
      </font>
    </dxf>
    <dxf>
      <font>
        <condense val="0"/>
        <extend val="0"/>
        <color indexed="10"/>
      </font>
      <fill>
        <patternFill patternType="none">
          <bgColor indexed="6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ont>
        <color rgb="FF993300"/>
      </font>
      <fill>
        <patternFill>
          <bgColor rgb="FFFFFF99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ndense val="0"/>
        <extend val="0"/>
        <color indexed="17"/>
      </font>
    </dxf>
    <dxf>
      <font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17"/>
      </font>
    </dxf>
    <dxf>
      <font>
        <condense val="0"/>
        <extend val="0"/>
        <color indexed="10"/>
      </font>
      <fill>
        <patternFill patternType="none">
          <bgColor indexed="6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ont>
        <color rgb="FF993300"/>
      </font>
      <fill>
        <patternFill>
          <bgColor rgb="FFFFFF99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ndense val="0"/>
        <extend val="0"/>
        <color indexed="17"/>
      </font>
    </dxf>
    <dxf>
      <font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17"/>
      </font>
    </dxf>
    <dxf>
      <font>
        <condense val="0"/>
        <extend val="0"/>
        <color indexed="10"/>
      </font>
      <fill>
        <patternFill patternType="none">
          <bgColor indexed="6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ndense val="0"/>
        <extend val="0"/>
        <color auto="1"/>
      </font>
      <fill>
        <patternFill>
          <bgColor indexed="17"/>
        </patternFill>
      </fill>
    </dxf>
    <dxf>
      <font>
        <color indexed="20"/>
      </font>
      <fill>
        <patternFill>
          <bgColor indexed="10"/>
        </patternFill>
      </fill>
    </dxf>
    <dxf>
      <font>
        <color indexed="60"/>
      </font>
      <fill>
        <patternFill>
          <bgColor indexed="43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ndense val="0"/>
        <extend val="0"/>
        <color auto="1"/>
      </font>
      <fill>
        <patternFill>
          <bgColor indexed="17"/>
        </patternFill>
      </fill>
    </dxf>
    <dxf>
      <font>
        <color indexed="20"/>
      </font>
      <fill>
        <patternFill>
          <bgColor indexed="10"/>
        </patternFill>
      </fill>
    </dxf>
    <dxf>
      <font>
        <color indexed="60"/>
      </font>
      <fill>
        <patternFill>
          <bgColor indexed="43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ndense val="0"/>
        <extend val="0"/>
        <color auto="1"/>
      </font>
      <fill>
        <patternFill>
          <bgColor indexed="17"/>
        </patternFill>
      </fill>
    </dxf>
    <dxf>
      <font>
        <color indexed="20"/>
      </font>
      <fill>
        <patternFill>
          <bgColor indexed="10"/>
        </patternFill>
      </fill>
    </dxf>
    <dxf>
      <font>
        <color indexed="60"/>
      </font>
      <fill>
        <patternFill>
          <bgColor indexed="43"/>
        </patternFill>
      </fill>
    </dxf>
    <dxf>
      <font>
        <color theme="0"/>
      </font>
      <fill>
        <patternFill patternType="solid"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solid">
          <bgColor rgb="FFFF0000"/>
        </patternFill>
      </fill>
    </dxf>
    <dxf>
      <font>
        <condense val="0"/>
        <extend val="0"/>
        <color auto="1"/>
      </font>
      <fill>
        <patternFill>
          <bgColor indexed="17"/>
        </patternFill>
      </fill>
    </dxf>
    <dxf>
      <font>
        <color indexed="20"/>
      </font>
      <fill>
        <patternFill>
          <bgColor indexed="10"/>
        </patternFill>
      </fill>
    </dxf>
    <dxf>
      <font>
        <color indexed="60"/>
      </font>
      <fill>
        <patternFill>
          <bgColor indexed="43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1" tint="0.24994659260841701"/>
        </patternFill>
      </fill>
    </dxf>
    <dxf>
      <fill>
        <patternFill>
          <bgColor theme="1" tint="0.24994659260841701"/>
        </patternFill>
      </fill>
    </dxf>
    <dxf>
      <font>
        <b/>
        <i val="0"/>
      </font>
      <fill>
        <patternFill>
          <bgColor rgb="FF66FF33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66FFFF"/>
        </patternFill>
      </fill>
    </dxf>
    <dxf>
      <fill>
        <patternFill>
          <bgColor theme="1" tint="0.24994659260841701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7" formatCode="0.0000"/>
    </dxf>
    <dxf>
      <numFmt numFmtId="164" formatCode="0.000"/>
    </dxf>
    <dxf>
      <numFmt numFmtId="167" formatCode="0.0000"/>
    </dxf>
    <dxf>
      <numFmt numFmtId="167" formatCode="0.0000"/>
    </dxf>
    <dxf>
      <numFmt numFmtId="0" formatCode="General"/>
    </dxf>
    <dxf>
      <font>
        <b/>
        <i val="0"/>
      </font>
      <fill>
        <patternFill>
          <bgColor rgb="FF66FF33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66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99FF99"/>
      <color rgb="FF66FF33"/>
      <color rgb="FF993300"/>
      <color rgb="FFFFFF99"/>
      <color rgb="FFFFFF00"/>
      <color rgb="FFCCFFFF"/>
      <color rgb="FF66FFFF"/>
      <color rgb="FF99FF33"/>
      <color rgb="FFFF66FF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sheetMetadata" Target="metadata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Feeder - Sigma 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2"/>
          <c:order val="0"/>
          <c:tx>
            <c:v>Stroke/min (FA 1)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'Sigma 5 Feed (1)'!$L$4:$L$26</c:f>
              <c:numCache>
                <c:formatCode>0</c:formatCode>
                <c:ptCount val="23"/>
                <c:pt idx="0">
                  <c:v>4</c:v>
                </c:pt>
                <c:pt idx="1">
                  <c:v>8</c:v>
                </c:pt>
                <c:pt idx="2">
                  <c:v>12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28</c:v>
                </c:pt>
                <c:pt idx="7">
                  <c:v>32</c:v>
                </c:pt>
                <c:pt idx="8">
                  <c:v>36</c:v>
                </c:pt>
                <c:pt idx="9">
                  <c:v>40</c:v>
                </c:pt>
                <c:pt idx="10">
                  <c:v>44</c:v>
                </c:pt>
                <c:pt idx="11">
                  <c:v>48</c:v>
                </c:pt>
                <c:pt idx="12">
                  <c:v>52</c:v>
                </c:pt>
                <c:pt idx="13">
                  <c:v>56</c:v>
                </c:pt>
                <c:pt idx="14">
                  <c:v>60</c:v>
                </c:pt>
                <c:pt idx="15">
                  <c:v>64</c:v>
                </c:pt>
                <c:pt idx="16">
                  <c:v>68</c:v>
                </c:pt>
                <c:pt idx="17">
                  <c:v>72</c:v>
                </c:pt>
                <c:pt idx="18">
                  <c:v>76</c:v>
                </c:pt>
                <c:pt idx="19">
                  <c:v>80</c:v>
                </c:pt>
                <c:pt idx="20">
                  <c:v>84</c:v>
                </c:pt>
                <c:pt idx="21">
                  <c:v>88</c:v>
                </c:pt>
                <c:pt idx="22">
                  <c:v>92</c:v>
                </c:pt>
              </c:numCache>
            </c:numRef>
          </c:xVal>
          <c:yVal>
            <c:numRef>
              <c:f>'Sigma 5 Feed (1)'!$O$4:$O$26</c:f>
              <c:numCache>
                <c:formatCode>0</c:formatCode>
                <c:ptCount val="23"/>
                <c:pt idx="0">
                  <c:v>112</c:v>
                </c:pt>
                <c:pt idx="1">
                  <c:v>82</c:v>
                </c:pt>
                <c:pt idx="2">
                  <c:v>68</c:v>
                </c:pt>
                <c:pt idx="3">
                  <c:v>59</c:v>
                </c:pt>
                <c:pt idx="4">
                  <c:v>51</c:v>
                </c:pt>
                <c:pt idx="5">
                  <c:v>46</c:v>
                </c:pt>
                <c:pt idx="6">
                  <c:v>41</c:v>
                </c:pt>
                <c:pt idx="7">
                  <c:v>38</c:v>
                </c:pt>
                <c:pt idx="8">
                  <c:v>34</c:v>
                </c:pt>
                <c:pt idx="9">
                  <c:v>32</c:v>
                </c:pt>
                <c:pt idx="10">
                  <c:v>29</c:v>
                </c:pt>
                <c:pt idx="11">
                  <c:v>27</c:v>
                </c:pt>
                <c:pt idx="12">
                  <c:v>26</c:v>
                </c:pt>
                <c:pt idx="13">
                  <c:v>24</c:v>
                </c:pt>
                <c:pt idx="14">
                  <c:v>23</c:v>
                </c:pt>
                <c:pt idx="15">
                  <c:v>22</c:v>
                </c:pt>
                <c:pt idx="16">
                  <c:v>21</c:v>
                </c:pt>
                <c:pt idx="17">
                  <c:v>20</c:v>
                </c:pt>
                <c:pt idx="18">
                  <c:v>18</c:v>
                </c:pt>
                <c:pt idx="19">
                  <c:v>18</c:v>
                </c:pt>
                <c:pt idx="20">
                  <c:v>17</c:v>
                </c:pt>
                <c:pt idx="21">
                  <c:v>16</c:v>
                </c:pt>
                <c:pt idx="22">
                  <c:v>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E0C-4588-8382-1E2D75CC6859}"/>
            </c:ext>
          </c:extLst>
        </c:ser>
        <c:ser>
          <c:idx val="3"/>
          <c:order val="1"/>
          <c:tx>
            <c:v>Stroke/min (FA 2)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'Sigma 5 Feed (1)'!$L$4:$L$26</c:f>
              <c:numCache>
                <c:formatCode>0</c:formatCode>
                <c:ptCount val="23"/>
                <c:pt idx="0">
                  <c:v>4</c:v>
                </c:pt>
                <c:pt idx="1">
                  <c:v>8</c:v>
                </c:pt>
                <c:pt idx="2">
                  <c:v>12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28</c:v>
                </c:pt>
                <c:pt idx="7">
                  <c:v>32</c:v>
                </c:pt>
                <c:pt idx="8">
                  <c:v>36</c:v>
                </c:pt>
                <c:pt idx="9">
                  <c:v>40</c:v>
                </c:pt>
                <c:pt idx="10">
                  <c:v>44</c:v>
                </c:pt>
                <c:pt idx="11">
                  <c:v>48</c:v>
                </c:pt>
                <c:pt idx="12">
                  <c:v>52</c:v>
                </c:pt>
                <c:pt idx="13">
                  <c:v>56</c:v>
                </c:pt>
                <c:pt idx="14">
                  <c:v>60</c:v>
                </c:pt>
                <c:pt idx="15">
                  <c:v>64</c:v>
                </c:pt>
                <c:pt idx="16">
                  <c:v>68</c:v>
                </c:pt>
                <c:pt idx="17">
                  <c:v>72</c:v>
                </c:pt>
                <c:pt idx="18">
                  <c:v>76</c:v>
                </c:pt>
                <c:pt idx="19">
                  <c:v>80</c:v>
                </c:pt>
                <c:pt idx="20">
                  <c:v>84</c:v>
                </c:pt>
                <c:pt idx="21">
                  <c:v>88</c:v>
                </c:pt>
                <c:pt idx="22">
                  <c:v>92</c:v>
                </c:pt>
              </c:numCache>
            </c:numRef>
          </c:xVal>
          <c:yVal>
            <c:numRef>
              <c:f>'Sigma 5 Feed (1)'!$R$4:$R$26</c:f>
              <c:numCache>
                <c:formatCode>0</c:formatCode>
                <c:ptCount val="23"/>
                <c:pt idx="0">
                  <c:v>150</c:v>
                </c:pt>
                <c:pt idx="1">
                  <c:v>110</c:v>
                </c:pt>
                <c:pt idx="2">
                  <c:v>91</c:v>
                </c:pt>
                <c:pt idx="3">
                  <c:v>78</c:v>
                </c:pt>
                <c:pt idx="4">
                  <c:v>69</c:v>
                </c:pt>
                <c:pt idx="5">
                  <c:v>60</c:v>
                </c:pt>
                <c:pt idx="6">
                  <c:v>51</c:v>
                </c:pt>
                <c:pt idx="7">
                  <c:v>45</c:v>
                </c:pt>
                <c:pt idx="8">
                  <c:v>40</c:v>
                </c:pt>
                <c:pt idx="9">
                  <c:v>36</c:v>
                </c:pt>
                <c:pt idx="10">
                  <c:v>32</c:v>
                </c:pt>
                <c:pt idx="11">
                  <c:v>30</c:v>
                </c:pt>
                <c:pt idx="12">
                  <c:v>27</c:v>
                </c:pt>
                <c:pt idx="13">
                  <c:v>25</c:v>
                </c:pt>
                <c:pt idx="14">
                  <c:v>24</c:v>
                </c:pt>
                <c:pt idx="15">
                  <c:v>22</c:v>
                </c:pt>
                <c:pt idx="16">
                  <c:v>21</c:v>
                </c:pt>
                <c:pt idx="17">
                  <c:v>20</c:v>
                </c:pt>
                <c:pt idx="18">
                  <c:v>18</c:v>
                </c:pt>
                <c:pt idx="19">
                  <c:v>18</c:v>
                </c:pt>
                <c:pt idx="20">
                  <c:v>17</c:v>
                </c:pt>
                <c:pt idx="21">
                  <c:v>16</c:v>
                </c:pt>
                <c:pt idx="22">
                  <c:v>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E0C-4588-8382-1E2D75CC68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911584"/>
        <c:axId val="160911976"/>
      </c:scatterChart>
      <c:valAx>
        <c:axId val="160911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Length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11976"/>
        <c:crosses val="autoZero"/>
        <c:crossBetween val="midCat"/>
      </c:valAx>
      <c:valAx>
        <c:axId val="1609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Stroke</a:t>
                </a:r>
                <a:r>
                  <a:rPr lang="en-US" baseline="0"/>
                  <a:t> / min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115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Feeder - Sigma 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2"/>
          <c:order val="0"/>
          <c:tx>
            <c:v>Stroke/min (FA 1)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'Sigma 5 Feed (2)'!$L$4:$L$26</c:f>
              <c:numCache>
                <c:formatCode>General</c:formatCode>
                <c:ptCount val="23"/>
                <c:pt idx="0">
                  <c:v>4</c:v>
                </c:pt>
                <c:pt idx="1">
                  <c:v>8</c:v>
                </c:pt>
                <c:pt idx="2">
                  <c:v>12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28</c:v>
                </c:pt>
                <c:pt idx="7">
                  <c:v>32</c:v>
                </c:pt>
                <c:pt idx="8">
                  <c:v>36</c:v>
                </c:pt>
                <c:pt idx="9">
                  <c:v>40</c:v>
                </c:pt>
                <c:pt idx="10">
                  <c:v>44</c:v>
                </c:pt>
                <c:pt idx="11">
                  <c:v>48</c:v>
                </c:pt>
                <c:pt idx="12">
                  <c:v>52</c:v>
                </c:pt>
                <c:pt idx="13">
                  <c:v>56</c:v>
                </c:pt>
                <c:pt idx="14">
                  <c:v>60</c:v>
                </c:pt>
                <c:pt idx="15">
                  <c:v>64</c:v>
                </c:pt>
                <c:pt idx="16">
                  <c:v>68</c:v>
                </c:pt>
                <c:pt idx="17">
                  <c:v>72</c:v>
                </c:pt>
                <c:pt idx="18">
                  <c:v>76</c:v>
                </c:pt>
                <c:pt idx="19">
                  <c:v>80</c:v>
                </c:pt>
                <c:pt idx="20">
                  <c:v>84</c:v>
                </c:pt>
                <c:pt idx="21">
                  <c:v>88</c:v>
                </c:pt>
                <c:pt idx="22">
                  <c:v>92</c:v>
                </c:pt>
              </c:numCache>
            </c:numRef>
          </c:xVal>
          <c:yVal>
            <c:numRef>
              <c:f>'Sigma 5 Feed (2)'!$O$4:$O$26</c:f>
              <c:numCache>
                <c:formatCode>0</c:formatCode>
                <c:ptCount val="23"/>
                <c:pt idx="0">
                  <c:v>112</c:v>
                </c:pt>
                <c:pt idx="1">
                  <c:v>82</c:v>
                </c:pt>
                <c:pt idx="2">
                  <c:v>68</c:v>
                </c:pt>
                <c:pt idx="3">
                  <c:v>59</c:v>
                </c:pt>
                <c:pt idx="4">
                  <c:v>51</c:v>
                </c:pt>
                <c:pt idx="5">
                  <c:v>46</c:v>
                </c:pt>
                <c:pt idx="6">
                  <c:v>41</c:v>
                </c:pt>
                <c:pt idx="7">
                  <c:v>38</c:v>
                </c:pt>
                <c:pt idx="8">
                  <c:v>34</c:v>
                </c:pt>
                <c:pt idx="9">
                  <c:v>32</c:v>
                </c:pt>
                <c:pt idx="10">
                  <c:v>29</c:v>
                </c:pt>
                <c:pt idx="11">
                  <c:v>27</c:v>
                </c:pt>
                <c:pt idx="12">
                  <c:v>26</c:v>
                </c:pt>
                <c:pt idx="13">
                  <c:v>24</c:v>
                </c:pt>
                <c:pt idx="14">
                  <c:v>23</c:v>
                </c:pt>
                <c:pt idx="15">
                  <c:v>22</c:v>
                </c:pt>
                <c:pt idx="16">
                  <c:v>21</c:v>
                </c:pt>
                <c:pt idx="17">
                  <c:v>20</c:v>
                </c:pt>
                <c:pt idx="18">
                  <c:v>18</c:v>
                </c:pt>
                <c:pt idx="19">
                  <c:v>18</c:v>
                </c:pt>
                <c:pt idx="20">
                  <c:v>17</c:v>
                </c:pt>
                <c:pt idx="21">
                  <c:v>16</c:v>
                </c:pt>
                <c:pt idx="22">
                  <c:v>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C4-4AF6-B973-25135BE49594}"/>
            </c:ext>
          </c:extLst>
        </c:ser>
        <c:ser>
          <c:idx val="3"/>
          <c:order val="1"/>
          <c:tx>
            <c:v>Stroke/min (FA 2)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'Sigma 5 Feed (2)'!$L$4:$L$26</c:f>
              <c:numCache>
                <c:formatCode>General</c:formatCode>
                <c:ptCount val="23"/>
                <c:pt idx="0">
                  <c:v>4</c:v>
                </c:pt>
                <c:pt idx="1">
                  <c:v>8</c:v>
                </c:pt>
                <c:pt idx="2">
                  <c:v>12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28</c:v>
                </c:pt>
                <c:pt idx="7">
                  <c:v>32</c:v>
                </c:pt>
                <c:pt idx="8">
                  <c:v>36</c:v>
                </c:pt>
                <c:pt idx="9">
                  <c:v>40</c:v>
                </c:pt>
                <c:pt idx="10">
                  <c:v>44</c:v>
                </c:pt>
                <c:pt idx="11">
                  <c:v>48</c:v>
                </c:pt>
                <c:pt idx="12">
                  <c:v>52</c:v>
                </c:pt>
                <c:pt idx="13">
                  <c:v>56</c:v>
                </c:pt>
                <c:pt idx="14">
                  <c:v>60</c:v>
                </c:pt>
                <c:pt idx="15">
                  <c:v>64</c:v>
                </c:pt>
                <c:pt idx="16">
                  <c:v>68</c:v>
                </c:pt>
                <c:pt idx="17">
                  <c:v>72</c:v>
                </c:pt>
                <c:pt idx="18">
                  <c:v>76</c:v>
                </c:pt>
                <c:pt idx="19">
                  <c:v>80</c:v>
                </c:pt>
                <c:pt idx="20">
                  <c:v>84</c:v>
                </c:pt>
                <c:pt idx="21">
                  <c:v>88</c:v>
                </c:pt>
                <c:pt idx="22">
                  <c:v>92</c:v>
                </c:pt>
              </c:numCache>
            </c:numRef>
          </c:xVal>
          <c:yVal>
            <c:numRef>
              <c:f>'Sigma 5 Feed (2)'!$R$4:$R$26</c:f>
              <c:numCache>
                <c:formatCode>0</c:formatCode>
                <c:ptCount val="23"/>
                <c:pt idx="0">
                  <c:v>150</c:v>
                </c:pt>
                <c:pt idx="1">
                  <c:v>110</c:v>
                </c:pt>
                <c:pt idx="2">
                  <c:v>91</c:v>
                </c:pt>
                <c:pt idx="3">
                  <c:v>78</c:v>
                </c:pt>
                <c:pt idx="4">
                  <c:v>69</c:v>
                </c:pt>
                <c:pt idx="5">
                  <c:v>60</c:v>
                </c:pt>
                <c:pt idx="6">
                  <c:v>51</c:v>
                </c:pt>
                <c:pt idx="7">
                  <c:v>45</c:v>
                </c:pt>
                <c:pt idx="8">
                  <c:v>40</c:v>
                </c:pt>
                <c:pt idx="9">
                  <c:v>36</c:v>
                </c:pt>
                <c:pt idx="10">
                  <c:v>32</c:v>
                </c:pt>
                <c:pt idx="11">
                  <c:v>30</c:v>
                </c:pt>
                <c:pt idx="12">
                  <c:v>27</c:v>
                </c:pt>
                <c:pt idx="13">
                  <c:v>25</c:v>
                </c:pt>
                <c:pt idx="14">
                  <c:v>24</c:v>
                </c:pt>
                <c:pt idx="15">
                  <c:v>22</c:v>
                </c:pt>
                <c:pt idx="16">
                  <c:v>21</c:v>
                </c:pt>
                <c:pt idx="17">
                  <c:v>20</c:v>
                </c:pt>
                <c:pt idx="18">
                  <c:v>18</c:v>
                </c:pt>
                <c:pt idx="19">
                  <c:v>18</c:v>
                </c:pt>
                <c:pt idx="20">
                  <c:v>17</c:v>
                </c:pt>
                <c:pt idx="21">
                  <c:v>16</c:v>
                </c:pt>
                <c:pt idx="22">
                  <c:v>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7C4-4AF6-B973-25135BE49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911584"/>
        <c:axId val="160911976"/>
      </c:scatterChart>
      <c:valAx>
        <c:axId val="160911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Length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11976"/>
        <c:crosses val="autoZero"/>
        <c:crossBetween val="midCat"/>
      </c:valAx>
      <c:valAx>
        <c:axId val="1609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Stroke</a:t>
                </a:r>
                <a:r>
                  <a:rPr lang="en-US" baseline="0"/>
                  <a:t> / min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115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Feeder Straightener</a:t>
            </a:r>
          </a:p>
        </c:rich>
      </c:tx>
      <c:layout>
        <c:manualLayout>
          <c:xMode val="edge"/>
          <c:yMode val="edge"/>
          <c:x val="0.43927402517308289"/>
          <c:y val="1.29764801297648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514128915703715E-2"/>
          <c:y val="0.12003236245954693"/>
          <c:w val="0.77267943799045491"/>
          <c:h val="0.73626761460642665"/>
        </c:manualLayout>
      </c:layout>
      <c:scatterChart>
        <c:scatterStyle val="lineMarker"/>
        <c:varyColors val="0"/>
        <c:ser>
          <c:idx val="2"/>
          <c:order val="0"/>
          <c:tx>
            <c:v>Stroke/min (FA 1)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'Sigma 5 Feed With Pull Thru (1)'!$L$4:$L$26</c:f>
              <c:numCache>
                <c:formatCode>General</c:formatCode>
                <c:ptCount val="23"/>
                <c:pt idx="0">
                  <c:v>4</c:v>
                </c:pt>
                <c:pt idx="1">
                  <c:v>8</c:v>
                </c:pt>
                <c:pt idx="2">
                  <c:v>12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28</c:v>
                </c:pt>
                <c:pt idx="7">
                  <c:v>32</c:v>
                </c:pt>
                <c:pt idx="8">
                  <c:v>36</c:v>
                </c:pt>
                <c:pt idx="9">
                  <c:v>40</c:v>
                </c:pt>
                <c:pt idx="10">
                  <c:v>44</c:v>
                </c:pt>
                <c:pt idx="11">
                  <c:v>48</c:v>
                </c:pt>
                <c:pt idx="12">
                  <c:v>52</c:v>
                </c:pt>
                <c:pt idx="13">
                  <c:v>56</c:v>
                </c:pt>
                <c:pt idx="14">
                  <c:v>60</c:v>
                </c:pt>
                <c:pt idx="15">
                  <c:v>64</c:v>
                </c:pt>
                <c:pt idx="16">
                  <c:v>68</c:v>
                </c:pt>
                <c:pt idx="17">
                  <c:v>72</c:v>
                </c:pt>
                <c:pt idx="18">
                  <c:v>76</c:v>
                </c:pt>
                <c:pt idx="19">
                  <c:v>80</c:v>
                </c:pt>
                <c:pt idx="20">
                  <c:v>84</c:v>
                </c:pt>
                <c:pt idx="21">
                  <c:v>88</c:v>
                </c:pt>
                <c:pt idx="22">
                  <c:v>92</c:v>
                </c:pt>
              </c:numCache>
            </c:numRef>
          </c:xVal>
          <c:yVal>
            <c:numRef>
              <c:f>'Sigma 5 Feed With Pull Thru (1)'!$O$4:$O$26</c:f>
              <c:numCache>
                <c:formatCode>0</c:formatCode>
                <c:ptCount val="2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99-4517-8BA2-7FB740E8E2E0}"/>
            </c:ext>
          </c:extLst>
        </c:ser>
        <c:ser>
          <c:idx val="3"/>
          <c:order val="1"/>
          <c:tx>
            <c:v>Stroke/min (FA 2)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'Sigma 5 Feed With Pull Thru (1)'!$L$4:$L$26</c:f>
              <c:numCache>
                <c:formatCode>General</c:formatCode>
                <c:ptCount val="23"/>
                <c:pt idx="0">
                  <c:v>4</c:v>
                </c:pt>
                <c:pt idx="1">
                  <c:v>8</c:v>
                </c:pt>
                <c:pt idx="2">
                  <c:v>12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28</c:v>
                </c:pt>
                <c:pt idx="7">
                  <c:v>32</c:v>
                </c:pt>
                <c:pt idx="8">
                  <c:v>36</c:v>
                </c:pt>
                <c:pt idx="9">
                  <c:v>40</c:v>
                </c:pt>
                <c:pt idx="10">
                  <c:v>44</c:v>
                </c:pt>
                <c:pt idx="11">
                  <c:v>48</c:v>
                </c:pt>
                <c:pt idx="12">
                  <c:v>52</c:v>
                </c:pt>
                <c:pt idx="13">
                  <c:v>56</c:v>
                </c:pt>
                <c:pt idx="14">
                  <c:v>60</c:v>
                </c:pt>
                <c:pt idx="15">
                  <c:v>64</c:v>
                </c:pt>
                <c:pt idx="16">
                  <c:v>68</c:v>
                </c:pt>
                <c:pt idx="17">
                  <c:v>72</c:v>
                </c:pt>
                <c:pt idx="18">
                  <c:v>76</c:v>
                </c:pt>
                <c:pt idx="19">
                  <c:v>80</c:v>
                </c:pt>
                <c:pt idx="20">
                  <c:v>84</c:v>
                </c:pt>
                <c:pt idx="21">
                  <c:v>88</c:v>
                </c:pt>
                <c:pt idx="22">
                  <c:v>92</c:v>
                </c:pt>
              </c:numCache>
            </c:numRef>
          </c:xVal>
          <c:yVal>
            <c:numRef>
              <c:f>'Sigma 5 Feed With Pull Thru (1)'!$R$4:$R$26</c:f>
              <c:numCache>
                <c:formatCode>0</c:formatCode>
                <c:ptCount val="2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F99-4517-8BA2-7FB740E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0084624"/>
        <c:axId val="450085016"/>
      </c:scatterChart>
      <c:valAx>
        <c:axId val="450084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Length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85016"/>
        <c:crosses val="autoZero"/>
        <c:crossBetween val="midCat"/>
      </c:valAx>
      <c:valAx>
        <c:axId val="450085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Stroke / MIN</a:t>
                </a:r>
              </a:p>
            </c:rich>
          </c:tx>
          <c:layout>
            <c:manualLayout>
              <c:xMode val="edge"/>
              <c:yMode val="edge"/>
              <c:x val="1.1005669291338581E-2"/>
              <c:y val="0.4006478022363992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846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645078405946286"/>
          <c:y val="0.40240371413427334"/>
          <c:w val="0.1293417821923363"/>
          <c:h val="0.1852686297424500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Feeder Straightener</a:t>
            </a:r>
          </a:p>
        </c:rich>
      </c:tx>
      <c:layout>
        <c:manualLayout>
          <c:xMode val="edge"/>
          <c:yMode val="edge"/>
          <c:x val="0.43927402517308289"/>
          <c:y val="1.29764801297648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514128915703715E-2"/>
          <c:y val="0.12003236245954693"/>
          <c:w val="0.77267943799045491"/>
          <c:h val="0.73626761460642665"/>
        </c:manualLayout>
      </c:layout>
      <c:scatterChart>
        <c:scatterStyle val="lineMarker"/>
        <c:varyColors val="0"/>
        <c:ser>
          <c:idx val="2"/>
          <c:order val="0"/>
          <c:tx>
            <c:v>Stroke/min (FA 1)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'Sigma 5 Feed With Pull Thru (1)'!$L$4:$L$26</c:f>
              <c:numCache>
                <c:formatCode>General</c:formatCode>
                <c:ptCount val="23"/>
                <c:pt idx="0">
                  <c:v>4</c:v>
                </c:pt>
                <c:pt idx="1">
                  <c:v>8</c:v>
                </c:pt>
                <c:pt idx="2">
                  <c:v>12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28</c:v>
                </c:pt>
                <c:pt idx="7">
                  <c:v>32</c:v>
                </c:pt>
                <c:pt idx="8">
                  <c:v>36</c:v>
                </c:pt>
                <c:pt idx="9">
                  <c:v>40</c:v>
                </c:pt>
                <c:pt idx="10">
                  <c:v>44</c:v>
                </c:pt>
                <c:pt idx="11">
                  <c:v>48</c:v>
                </c:pt>
                <c:pt idx="12">
                  <c:v>52</c:v>
                </c:pt>
                <c:pt idx="13">
                  <c:v>56</c:v>
                </c:pt>
                <c:pt idx="14">
                  <c:v>60</c:v>
                </c:pt>
                <c:pt idx="15">
                  <c:v>64</c:v>
                </c:pt>
                <c:pt idx="16">
                  <c:v>68</c:v>
                </c:pt>
                <c:pt idx="17">
                  <c:v>72</c:v>
                </c:pt>
                <c:pt idx="18">
                  <c:v>76</c:v>
                </c:pt>
                <c:pt idx="19">
                  <c:v>80</c:v>
                </c:pt>
                <c:pt idx="20">
                  <c:v>84</c:v>
                </c:pt>
                <c:pt idx="21">
                  <c:v>88</c:v>
                </c:pt>
                <c:pt idx="22">
                  <c:v>92</c:v>
                </c:pt>
              </c:numCache>
            </c:numRef>
          </c:xVal>
          <c:yVal>
            <c:numRef>
              <c:f>'Sigma 5 Feed With Pull Thru (1)'!$O$4:$O$26</c:f>
              <c:numCache>
                <c:formatCode>0</c:formatCode>
                <c:ptCount val="2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55-4808-AA9A-C9ADD3ECC079}"/>
            </c:ext>
          </c:extLst>
        </c:ser>
        <c:ser>
          <c:idx val="3"/>
          <c:order val="1"/>
          <c:tx>
            <c:v>Stroke/min (FA 2)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'Sigma 5 Feed With Pull Thru (1)'!$L$4:$L$26</c:f>
              <c:numCache>
                <c:formatCode>General</c:formatCode>
                <c:ptCount val="23"/>
                <c:pt idx="0">
                  <c:v>4</c:v>
                </c:pt>
                <c:pt idx="1">
                  <c:v>8</c:v>
                </c:pt>
                <c:pt idx="2">
                  <c:v>12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28</c:v>
                </c:pt>
                <c:pt idx="7">
                  <c:v>32</c:v>
                </c:pt>
                <c:pt idx="8">
                  <c:v>36</c:v>
                </c:pt>
                <c:pt idx="9">
                  <c:v>40</c:v>
                </c:pt>
                <c:pt idx="10">
                  <c:v>44</c:v>
                </c:pt>
                <c:pt idx="11">
                  <c:v>48</c:v>
                </c:pt>
                <c:pt idx="12">
                  <c:v>52</c:v>
                </c:pt>
                <c:pt idx="13">
                  <c:v>56</c:v>
                </c:pt>
                <c:pt idx="14">
                  <c:v>60</c:v>
                </c:pt>
                <c:pt idx="15">
                  <c:v>64</c:v>
                </c:pt>
                <c:pt idx="16">
                  <c:v>68</c:v>
                </c:pt>
                <c:pt idx="17">
                  <c:v>72</c:v>
                </c:pt>
                <c:pt idx="18">
                  <c:v>76</c:v>
                </c:pt>
                <c:pt idx="19">
                  <c:v>80</c:v>
                </c:pt>
                <c:pt idx="20">
                  <c:v>84</c:v>
                </c:pt>
                <c:pt idx="21">
                  <c:v>88</c:v>
                </c:pt>
                <c:pt idx="22">
                  <c:v>92</c:v>
                </c:pt>
              </c:numCache>
            </c:numRef>
          </c:xVal>
          <c:yVal>
            <c:numRef>
              <c:f>'Sigma 5 Feed With Pull Thru (1)'!$R$4:$R$26</c:f>
              <c:numCache>
                <c:formatCode>0</c:formatCode>
                <c:ptCount val="2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555-4808-AA9A-C9ADD3ECC0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0084624"/>
        <c:axId val="450085016"/>
      </c:scatterChart>
      <c:valAx>
        <c:axId val="450084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Length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85016"/>
        <c:crosses val="autoZero"/>
        <c:crossBetween val="midCat"/>
      </c:valAx>
      <c:valAx>
        <c:axId val="450085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Stroke / MIN</a:t>
                </a:r>
              </a:p>
            </c:rich>
          </c:tx>
          <c:layout>
            <c:manualLayout>
              <c:xMode val="edge"/>
              <c:yMode val="edge"/>
              <c:x val="1.1005669291338581E-2"/>
              <c:y val="0.4006478022363992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846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645078405946286"/>
          <c:y val="0.40240371413427334"/>
          <c:w val="0.1293417821923363"/>
          <c:h val="0.1852686297424500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Feeder Straightener</a:t>
            </a:r>
          </a:p>
        </c:rich>
      </c:tx>
      <c:layout>
        <c:manualLayout>
          <c:xMode val="edge"/>
          <c:yMode val="edge"/>
          <c:x val="0.43927402517308289"/>
          <c:y val="1.29764801297648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514128915703715E-2"/>
          <c:y val="0.12003236245954693"/>
          <c:w val="0.77267943799045491"/>
          <c:h val="0.73626761460642665"/>
        </c:manualLayout>
      </c:layout>
      <c:scatterChart>
        <c:scatterStyle val="lineMarker"/>
        <c:varyColors val="0"/>
        <c:ser>
          <c:idx val="2"/>
          <c:order val="0"/>
          <c:tx>
            <c:v>Stroke/min (FA 1)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'Sigma 5 Feed With Pull Thru (2)'!$L$4:$L$26</c:f>
              <c:numCache>
                <c:formatCode>General</c:formatCode>
                <c:ptCount val="23"/>
                <c:pt idx="0">
                  <c:v>4</c:v>
                </c:pt>
                <c:pt idx="1">
                  <c:v>8</c:v>
                </c:pt>
                <c:pt idx="2">
                  <c:v>12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28</c:v>
                </c:pt>
                <c:pt idx="7">
                  <c:v>32</c:v>
                </c:pt>
                <c:pt idx="8">
                  <c:v>36</c:v>
                </c:pt>
                <c:pt idx="9">
                  <c:v>40</c:v>
                </c:pt>
                <c:pt idx="10">
                  <c:v>44</c:v>
                </c:pt>
                <c:pt idx="11">
                  <c:v>48</c:v>
                </c:pt>
                <c:pt idx="12">
                  <c:v>52</c:v>
                </c:pt>
                <c:pt idx="13">
                  <c:v>56</c:v>
                </c:pt>
                <c:pt idx="14">
                  <c:v>60</c:v>
                </c:pt>
                <c:pt idx="15">
                  <c:v>64</c:v>
                </c:pt>
                <c:pt idx="16">
                  <c:v>68</c:v>
                </c:pt>
                <c:pt idx="17">
                  <c:v>72</c:v>
                </c:pt>
                <c:pt idx="18">
                  <c:v>76</c:v>
                </c:pt>
                <c:pt idx="19">
                  <c:v>80</c:v>
                </c:pt>
                <c:pt idx="20">
                  <c:v>84</c:v>
                </c:pt>
                <c:pt idx="21">
                  <c:v>88</c:v>
                </c:pt>
                <c:pt idx="22">
                  <c:v>92</c:v>
                </c:pt>
              </c:numCache>
            </c:numRef>
          </c:xVal>
          <c:yVal>
            <c:numRef>
              <c:f>'Sigma 5 Feed With Pull Thru (2)'!$O$4:$O$26</c:f>
              <c:numCache>
                <c:formatCode>0</c:formatCode>
                <c:ptCount val="2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07B-4876-9FC0-EC43460B7BC8}"/>
            </c:ext>
          </c:extLst>
        </c:ser>
        <c:ser>
          <c:idx val="3"/>
          <c:order val="1"/>
          <c:tx>
            <c:v>Stroke/min (FA 2)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'Sigma 5 Feed With Pull Thru (2)'!$L$4:$L$26</c:f>
              <c:numCache>
                <c:formatCode>General</c:formatCode>
                <c:ptCount val="23"/>
                <c:pt idx="0">
                  <c:v>4</c:v>
                </c:pt>
                <c:pt idx="1">
                  <c:v>8</c:v>
                </c:pt>
                <c:pt idx="2">
                  <c:v>12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28</c:v>
                </c:pt>
                <c:pt idx="7">
                  <c:v>32</c:v>
                </c:pt>
                <c:pt idx="8">
                  <c:v>36</c:v>
                </c:pt>
                <c:pt idx="9">
                  <c:v>40</c:v>
                </c:pt>
                <c:pt idx="10">
                  <c:v>44</c:v>
                </c:pt>
                <c:pt idx="11">
                  <c:v>48</c:v>
                </c:pt>
                <c:pt idx="12">
                  <c:v>52</c:v>
                </c:pt>
                <c:pt idx="13">
                  <c:v>56</c:v>
                </c:pt>
                <c:pt idx="14">
                  <c:v>60</c:v>
                </c:pt>
                <c:pt idx="15">
                  <c:v>64</c:v>
                </c:pt>
                <c:pt idx="16">
                  <c:v>68</c:v>
                </c:pt>
                <c:pt idx="17">
                  <c:v>72</c:v>
                </c:pt>
                <c:pt idx="18">
                  <c:v>76</c:v>
                </c:pt>
                <c:pt idx="19">
                  <c:v>80</c:v>
                </c:pt>
                <c:pt idx="20">
                  <c:v>84</c:v>
                </c:pt>
                <c:pt idx="21">
                  <c:v>88</c:v>
                </c:pt>
                <c:pt idx="22">
                  <c:v>92</c:v>
                </c:pt>
              </c:numCache>
            </c:numRef>
          </c:xVal>
          <c:yVal>
            <c:numRef>
              <c:f>'Sigma 5 Feed With Pull Thru (2)'!$R$4:$R$26</c:f>
              <c:numCache>
                <c:formatCode>0</c:formatCode>
                <c:ptCount val="2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07B-4876-9FC0-EC43460B7B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0084624"/>
        <c:axId val="450085016"/>
      </c:scatterChart>
      <c:valAx>
        <c:axId val="450084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Length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85016"/>
        <c:crosses val="autoZero"/>
        <c:crossBetween val="midCat"/>
      </c:valAx>
      <c:valAx>
        <c:axId val="450085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Stroke / MIN</a:t>
                </a:r>
              </a:p>
            </c:rich>
          </c:tx>
          <c:layout>
            <c:manualLayout>
              <c:xMode val="edge"/>
              <c:yMode val="edge"/>
              <c:x val="1.1005669291338581E-2"/>
              <c:y val="0.4006478022363992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846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645078405946286"/>
          <c:y val="0.40240371413427334"/>
          <c:w val="0.1293417821923363"/>
          <c:h val="0.1852686297424500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Feeder Straightener</a:t>
            </a:r>
          </a:p>
        </c:rich>
      </c:tx>
      <c:layout>
        <c:manualLayout>
          <c:xMode val="edge"/>
          <c:yMode val="edge"/>
          <c:x val="0.43927402517308289"/>
          <c:y val="1.29764801297648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514128915703715E-2"/>
          <c:y val="0.12003236245954693"/>
          <c:w val="0.77267943799045491"/>
          <c:h val="0.73626761460642665"/>
        </c:manualLayout>
      </c:layout>
      <c:scatterChart>
        <c:scatterStyle val="lineMarker"/>
        <c:varyColors val="0"/>
        <c:ser>
          <c:idx val="2"/>
          <c:order val="0"/>
          <c:tx>
            <c:v>Stroke/min (FA 1)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'Sigma 5 Feed With Pull Thru (2)'!$L$4:$L$26</c:f>
              <c:numCache>
                <c:formatCode>General</c:formatCode>
                <c:ptCount val="23"/>
                <c:pt idx="0">
                  <c:v>4</c:v>
                </c:pt>
                <c:pt idx="1">
                  <c:v>8</c:v>
                </c:pt>
                <c:pt idx="2">
                  <c:v>12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28</c:v>
                </c:pt>
                <c:pt idx="7">
                  <c:v>32</c:v>
                </c:pt>
                <c:pt idx="8">
                  <c:v>36</c:v>
                </c:pt>
                <c:pt idx="9">
                  <c:v>40</c:v>
                </c:pt>
                <c:pt idx="10">
                  <c:v>44</c:v>
                </c:pt>
                <c:pt idx="11">
                  <c:v>48</c:v>
                </c:pt>
                <c:pt idx="12">
                  <c:v>52</c:v>
                </c:pt>
                <c:pt idx="13">
                  <c:v>56</c:v>
                </c:pt>
                <c:pt idx="14">
                  <c:v>60</c:v>
                </c:pt>
                <c:pt idx="15">
                  <c:v>64</c:v>
                </c:pt>
                <c:pt idx="16">
                  <c:v>68</c:v>
                </c:pt>
                <c:pt idx="17">
                  <c:v>72</c:v>
                </c:pt>
                <c:pt idx="18">
                  <c:v>76</c:v>
                </c:pt>
                <c:pt idx="19">
                  <c:v>80</c:v>
                </c:pt>
                <c:pt idx="20">
                  <c:v>84</c:v>
                </c:pt>
                <c:pt idx="21">
                  <c:v>88</c:v>
                </c:pt>
                <c:pt idx="22">
                  <c:v>92</c:v>
                </c:pt>
              </c:numCache>
            </c:numRef>
          </c:xVal>
          <c:yVal>
            <c:numRef>
              <c:f>'Sigma 5 Feed With Pull Thru (2)'!$O$4:$O$26</c:f>
              <c:numCache>
                <c:formatCode>0</c:formatCode>
                <c:ptCount val="2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E-4118-9DA1-A8ED652E627F}"/>
            </c:ext>
          </c:extLst>
        </c:ser>
        <c:ser>
          <c:idx val="3"/>
          <c:order val="1"/>
          <c:tx>
            <c:v>Stroke/min (FA 2)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'Sigma 5 Feed With Pull Thru (2)'!$L$4:$L$26</c:f>
              <c:numCache>
                <c:formatCode>General</c:formatCode>
                <c:ptCount val="23"/>
                <c:pt idx="0">
                  <c:v>4</c:v>
                </c:pt>
                <c:pt idx="1">
                  <c:v>8</c:v>
                </c:pt>
                <c:pt idx="2">
                  <c:v>12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28</c:v>
                </c:pt>
                <c:pt idx="7">
                  <c:v>32</c:v>
                </c:pt>
                <c:pt idx="8">
                  <c:v>36</c:v>
                </c:pt>
                <c:pt idx="9">
                  <c:v>40</c:v>
                </c:pt>
                <c:pt idx="10">
                  <c:v>44</c:v>
                </c:pt>
                <c:pt idx="11">
                  <c:v>48</c:v>
                </c:pt>
                <c:pt idx="12">
                  <c:v>52</c:v>
                </c:pt>
                <c:pt idx="13">
                  <c:v>56</c:v>
                </c:pt>
                <c:pt idx="14">
                  <c:v>60</c:v>
                </c:pt>
                <c:pt idx="15">
                  <c:v>64</c:v>
                </c:pt>
                <c:pt idx="16">
                  <c:v>68</c:v>
                </c:pt>
                <c:pt idx="17">
                  <c:v>72</c:v>
                </c:pt>
                <c:pt idx="18">
                  <c:v>76</c:v>
                </c:pt>
                <c:pt idx="19">
                  <c:v>80</c:v>
                </c:pt>
                <c:pt idx="20">
                  <c:v>84</c:v>
                </c:pt>
                <c:pt idx="21">
                  <c:v>88</c:v>
                </c:pt>
                <c:pt idx="22">
                  <c:v>92</c:v>
                </c:pt>
              </c:numCache>
            </c:numRef>
          </c:xVal>
          <c:yVal>
            <c:numRef>
              <c:f>'Sigma 5 Feed With Pull Thru (2)'!$R$4:$R$26</c:f>
              <c:numCache>
                <c:formatCode>0</c:formatCode>
                <c:ptCount val="2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0E-4118-9DA1-A8ED652E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0084624"/>
        <c:axId val="450085016"/>
      </c:scatterChart>
      <c:valAx>
        <c:axId val="450084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Length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85016"/>
        <c:crosses val="autoZero"/>
        <c:crossBetween val="midCat"/>
      </c:valAx>
      <c:valAx>
        <c:axId val="450085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Stroke / MIN</a:t>
                </a:r>
              </a:p>
            </c:rich>
          </c:tx>
          <c:layout>
            <c:manualLayout>
              <c:xMode val="edge"/>
              <c:yMode val="edge"/>
              <c:x val="1.1005669291338581E-2"/>
              <c:y val="0.4006478022363992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846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645078405946286"/>
          <c:y val="0.40240371413427334"/>
          <c:w val="0.1293417821923363"/>
          <c:h val="0.1852686297424500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Feeder - AB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2"/>
          <c:order val="0"/>
          <c:tx>
            <c:v>Stroke/min (FA 1)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'Allen Bradley MPL - Feed (1)'!$L$4:$L$26</c:f>
              <c:numCache>
                <c:formatCode>General</c:formatCode>
                <c:ptCount val="23"/>
                <c:pt idx="0">
                  <c:v>4</c:v>
                </c:pt>
                <c:pt idx="1">
                  <c:v>8</c:v>
                </c:pt>
                <c:pt idx="2">
                  <c:v>12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28</c:v>
                </c:pt>
                <c:pt idx="7">
                  <c:v>32</c:v>
                </c:pt>
                <c:pt idx="8">
                  <c:v>36</c:v>
                </c:pt>
                <c:pt idx="9">
                  <c:v>40</c:v>
                </c:pt>
                <c:pt idx="10">
                  <c:v>44</c:v>
                </c:pt>
                <c:pt idx="11">
                  <c:v>48</c:v>
                </c:pt>
                <c:pt idx="12">
                  <c:v>52</c:v>
                </c:pt>
                <c:pt idx="13">
                  <c:v>56</c:v>
                </c:pt>
                <c:pt idx="14">
                  <c:v>60</c:v>
                </c:pt>
                <c:pt idx="15">
                  <c:v>64</c:v>
                </c:pt>
                <c:pt idx="16">
                  <c:v>68</c:v>
                </c:pt>
                <c:pt idx="17">
                  <c:v>72</c:v>
                </c:pt>
                <c:pt idx="18">
                  <c:v>76</c:v>
                </c:pt>
                <c:pt idx="19">
                  <c:v>80</c:v>
                </c:pt>
                <c:pt idx="20">
                  <c:v>84</c:v>
                </c:pt>
                <c:pt idx="21">
                  <c:v>88</c:v>
                </c:pt>
                <c:pt idx="22">
                  <c:v>92</c:v>
                </c:pt>
              </c:numCache>
            </c:numRef>
          </c:xVal>
          <c:yVal>
            <c:numRef>
              <c:f>'Allen Bradley MPL - Feed (1)'!$O$4:$O$26</c:f>
              <c:numCache>
                <c:formatCode>0</c:formatCode>
                <c:ptCount val="2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419-4513-A36B-F5DABA1C903C}"/>
            </c:ext>
          </c:extLst>
        </c:ser>
        <c:ser>
          <c:idx val="3"/>
          <c:order val="1"/>
          <c:tx>
            <c:v>Stroke/min (FA 2)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'Allen Bradley MPL - Feed (1)'!$L$4:$L$26</c:f>
              <c:numCache>
                <c:formatCode>General</c:formatCode>
                <c:ptCount val="23"/>
                <c:pt idx="0">
                  <c:v>4</c:v>
                </c:pt>
                <c:pt idx="1">
                  <c:v>8</c:v>
                </c:pt>
                <c:pt idx="2">
                  <c:v>12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28</c:v>
                </c:pt>
                <c:pt idx="7">
                  <c:v>32</c:v>
                </c:pt>
                <c:pt idx="8">
                  <c:v>36</c:v>
                </c:pt>
                <c:pt idx="9">
                  <c:v>40</c:v>
                </c:pt>
                <c:pt idx="10">
                  <c:v>44</c:v>
                </c:pt>
                <c:pt idx="11">
                  <c:v>48</c:v>
                </c:pt>
                <c:pt idx="12">
                  <c:v>52</c:v>
                </c:pt>
                <c:pt idx="13">
                  <c:v>56</c:v>
                </c:pt>
                <c:pt idx="14">
                  <c:v>60</c:v>
                </c:pt>
                <c:pt idx="15">
                  <c:v>64</c:v>
                </c:pt>
                <c:pt idx="16">
                  <c:v>68</c:v>
                </c:pt>
                <c:pt idx="17">
                  <c:v>72</c:v>
                </c:pt>
                <c:pt idx="18">
                  <c:v>76</c:v>
                </c:pt>
                <c:pt idx="19">
                  <c:v>80</c:v>
                </c:pt>
                <c:pt idx="20">
                  <c:v>84</c:v>
                </c:pt>
                <c:pt idx="21">
                  <c:v>88</c:v>
                </c:pt>
                <c:pt idx="22">
                  <c:v>92</c:v>
                </c:pt>
              </c:numCache>
            </c:numRef>
          </c:xVal>
          <c:yVal>
            <c:numRef>
              <c:f>'Allen Bradley MPL - Feed (1)'!$R$4:$R$26</c:f>
              <c:numCache>
                <c:formatCode>0</c:formatCode>
                <c:ptCount val="2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419-4513-A36B-F5DABA1C9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408560"/>
        <c:axId val="175408952"/>
      </c:scatterChart>
      <c:valAx>
        <c:axId val="175408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Length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408952"/>
        <c:crosses val="autoZero"/>
        <c:crossBetween val="midCat"/>
      </c:valAx>
      <c:valAx>
        <c:axId val="175408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4085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Feeder - AB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2"/>
          <c:order val="0"/>
          <c:tx>
            <c:v>Stroke/min (FA 1)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'Allen Bradley MPL - Feed (1)'!$L$4:$L$26</c:f>
              <c:numCache>
                <c:formatCode>General</c:formatCode>
                <c:ptCount val="23"/>
                <c:pt idx="0">
                  <c:v>4</c:v>
                </c:pt>
                <c:pt idx="1">
                  <c:v>8</c:v>
                </c:pt>
                <c:pt idx="2">
                  <c:v>12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28</c:v>
                </c:pt>
                <c:pt idx="7">
                  <c:v>32</c:v>
                </c:pt>
                <c:pt idx="8">
                  <c:v>36</c:v>
                </c:pt>
                <c:pt idx="9">
                  <c:v>40</c:v>
                </c:pt>
                <c:pt idx="10">
                  <c:v>44</c:v>
                </c:pt>
                <c:pt idx="11">
                  <c:v>48</c:v>
                </c:pt>
                <c:pt idx="12">
                  <c:v>52</c:v>
                </c:pt>
                <c:pt idx="13">
                  <c:v>56</c:v>
                </c:pt>
                <c:pt idx="14">
                  <c:v>60</c:v>
                </c:pt>
                <c:pt idx="15">
                  <c:v>64</c:v>
                </c:pt>
                <c:pt idx="16">
                  <c:v>68</c:v>
                </c:pt>
                <c:pt idx="17">
                  <c:v>72</c:v>
                </c:pt>
                <c:pt idx="18">
                  <c:v>76</c:v>
                </c:pt>
                <c:pt idx="19">
                  <c:v>80</c:v>
                </c:pt>
                <c:pt idx="20">
                  <c:v>84</c:v>
                </c:pt>
                <c:pt idx="21">
                  <c:v>88</c:v>
                </c:pt>
                <c:pt idx="22">
                  <c:v>92</c:v>
                </c:pt>
              </c:numCache>
            </c:numRef>
          </c:xVal>
          <c:yVal>
            <c:numRef>
              <c:f>'Allen Bradley MPL - Feed (1)'!$O$4:$O$26</c:f>
              <c:numCache>
                <c:formatCode>0</c:formatCode>
                <c:ptCount val="2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C0A-45AD-A393-39EC5C312E3F}"/>
            </c:ext>
          </c:extLst>
        </c:ser>
        <c:ser>
          <c:idx val="3"/>
          <c:order val="1"/>
          <c:tx>
            <c:v>Stroke/min (FA 2)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'Allen Bradley MPL - Feed (1)'!$L$4:$L$26</c:f>
              <c:numCache>
                <c:formatCode>General</c:formatCode>
                <c:ptCount val="23"/>
                <c:pt idx="0">
                  <c:v>4</c:v>
                </c:pt>
                <c:pt idx="1">
                  <c:v>8</c:v>
                </c:pt>
                <c:pt idx="2">
                  <c:v>12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28</c:v>
                </c:pt>
                <c:pt idx="7">
                  <c:v>32</c:v>
                </c:pt>
                <c:pt idx="8">
                  <c:v>36</c:v>
                </c:pt>
                <c:pt idx="9">
                  <c:v>40</c:v>
                </c:pt>
                <c:pt idx="10">
                  <c:v>44</c:v>
                </c:pt>
                <c:pt idx="11">
                  <c:v>48</c:v>
                </c:pt>
                <c:pt idx="12">
                  <c:v>52</c:v>
                </c:pt>
                <c:pt idx="13">
                  <c:v>56</c:v>
                </c:pt>
                <c:pt idx="14">
                  <c:v>60</c:v>
                </c:pt>
                <c:pt idx="15">
                  <c:v>64</c:v>
                </c:pt>
                <c:pt idx="16">
                  <c:v>68</c:v>
                </c:pt>
                <c:pt idx="17">
                  <c:v>72</c:v>
                </c:pt>
                <c:pt idx="18">
                  <c:v>76</c:v>
                </c:pt>
                <c:pt idx="19">
                  <c:v>80</c:v>
                </c:pt>
                <c:pt idx="20">
                  <c:v>84</c:v>
                </c:pt>
                <c:pt idx="21">
                  <c:v>88</c:v>
                </c:pt>
                <c:pt idx="22">
                  <c:v>92</c:v>
                </c:pt>
              </c:numCache>
            </c:numRef>
          </c:xVal>
          <c:yVal>
            <c:numRef>
              <c:f>'Allen Bradley MPL - Feed (1)'!$R$4:$R$26</c:f>
              <c:numCache>
                <c:formatCode>0</c:formatCode>
                <c:ptCount val="2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C0A-45AD-A393-39EC5C312E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408560"/>
        <c:axId val="175408952"/>
      </c:scatterChart>
      <c:valAx>
        <c:axId val="175408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Length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408952"/>
        <c:crosses val="autoZero"/>
        <c:crossBetween val="midCat"/>
      </c:valAx>
      <c:valAx>
        <c:axId val="175408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4085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orientation="landscape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Feeder - AB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2"/>
          <c:order val="0"/>
          <c:tx>
            <c:v>Stroke/min (FA 1)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'Allen Bradley MPL - Feed (2)'!$L$4:$L$26</c:f>
              <c:numCache>
                <c:formatCode>General</c:formatCode>
                <c:ptCount val="23"/>
                <c:pt idx="0">
                  <c:v>4</c:v>
                </c:pt>
                <c:pt idx="1">
                  <c:v>8</c:v>
                </c:pt>
                <c:pt idx="2">
                  <c:v>12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28</c:v>
                </c:pt>
                <c:pt idx="7">
                  <c:v>32</c:v>
                </c:pt>
                <c:pt idx="8">
                  <c:v>36</c:v>
                </c:pt>
                <c:pt idx="9">
                  <c:v>40</c:v>
                </c:pt>
                <c:pt idx="10">
                  <c:v>44</c:v>
                </c:pt>
                <c:pt idx="11">
                  <c:v>48</c:v>
                </c:pt>
                <c:pt idx="12">
                  <c:v>52</c:v>
                </c:pt>
                <c:pt idx="13">
                  <c:v>56</c:v>
                </c:pt>
                <c:pt idx="14">
                  <c:v>60</c:v>
                </c:pt>
                <c:pt idx="15">
                  <c:v>64</c:v>
                </c:pt>
                <c:pt idx="16">
                  <c:v>68</c:v>
                </c:pt>
                <c:pt idx="17">
                  <c:v>72</c:v>
                </c:pt>
                <c:pt idx="18">
                  <c:v>76</c:v>
                </c:pt>
                <c:pt idx="19">
                  <c:v>80</c:v>
                </c:pt>
                <c:pt idx="20">
                  <c:v>84</c:v>
                </c:pt>
                <c:pt idx="21">
                  <c:v>88</c:v>
                </c:pt>
                <c:pt idx="22">
                  <c:v>92</c:v>
                </c:pt>
              </c:numCache>
            </c:numRef>
          </c:xVal>
          <c:yVal>
            <c:numRef>
              <c:f>'Allen Bradley MPL - Feed (2)'!$O$4:$O$26</c:f>
              <c:numCache>
                <c:formatCode>0</c:formatCode>
                <c:ptCount val="2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32-43C8-AE96-FF604050E9A9}"/>
            </c:ext>
          </c:extLst>
        </c:ser>
        <c:ser>
          <c:idx val="3"/>
          <c:order val="1"/>
          <c:tx>
            <c:v>Stroke/min (FA 2)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'Allen Bradley MPL - Feed (2)'!$L$4:$L$26</c:f>
              <c:numCache>
                <c:formatCode>General</c:formatCode>
                <c:ptCount val="23"/>
                <c:pt idx="0">
                  <c:v>4</c:v>
                </c:pt>
                <c:pt idx="1">
                  <c:v>8</c:v>
                </c:pt>
                <c:pt idx="2">
                  <c:v>12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28</c:v>
                </c:pt>
                <c:pt idx="7">
                  <c:v>32</c:v>
                </c:pt>
                <c:pt idx="8">
                  <c:v>36</c:v>
                </c:pt>
                <c:pt idx="9">
                  <c:v>40</c:v>
                </c:pt>
                <c:pt idx="10">
                  <c:v>44</c:v>
                </c:pt>
                <c:pt idx="11">
                  <c:v>48</c:v>
                </c:pt>
                <c:pt idx="12">
                  <c:v>52</c:v>
                </c:pt>
                <c:pt idx="13">
                  <c:v>56</c:v>
                </c:pt>
                <c:pt idx="14">
                  <c:v>60</c:v>
                </c:pt>
                <c:pt idx="15">
                  <c:v>64</c:v>
                </c:pt>
                <c:pt idx="16">
                  <c:v>68</c:v>
                </c:pt>
                <c:pt idx="17">
                  <c:v>72</c:v>
                </c:pt>
                <c:pt idx="18">
                  <c:v>76</c:v>
                </c:pt>
                <c:pt idx="19">
                  <c:v>80</c:v>
                </c:pt>
                <c:pt idx="20">
                  <c:v>84</c:v>
                </c:pt>
                <c:pt idx="21">
                  <c:v>88</c:v>
                </c:pt>
                <c:pt idx="22">
                  <c:v>92</c:v>
                </c:pt>
              </c:numCache>
            </c:numRef>
          </c:xVal>
          <c:yVal>
            <c:numRef>
              <c:f>'Allen Bradley MPL - Feed (2)'!$R$4:$R$26</c:f>
              <c:numCache>
                <c:formatCode>0</c:formatCode>
                <c:ptCount val="2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332-43C8-AE96-FF604050E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408560"/>
        <c:axId val="175408952"/>
      </c:scatterChart>
      <c:valAx>
        <c:axId val="175408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Length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408952"/>
        <c:crosses val="autoZero"/>
        <c:crossBetween val="midCat"/>
      </c:valAx>
      <c:valAx>
        <c:axId val="175408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4085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fmlaLink="$AF$44" lockText="1" noThreeD="1"/>
</file>

<file path=xl/ctrlProps/ctrlProp6.xml><?xml version="1.0" encoding="utf-8"?>
<formControlPr xmlns="http://schemas.microsoft.com/office/spreadsheetml/2009/9/main" objectType="CheckBox" fmlaLink="$AF$40" lockText="1" noThreeD="1"/>
</file>

<file path=xl/ctrlProps/ctrlProp7.xml><?xml version="1.0" encoding="utf-8"?>
<formControlPr xmlns="http://schemas.microsoft.com/office/spreadsheetml/2009/9/main" objectType="CheckBox" fmlaLink="$AF$45" lockText="1" noThreeD="1"/>
</file>

<file path=xl/ctrlProps/ctrlProp8.xml><?xml version="1.0" encoding="utf-8"?>
<formControlPr xmlns="http://schemas.microsoft.com/office/spreadsheetml/2009/9/main" objectType="CheckBox" fmlaLink="$AF$41" lockText="1" noThreeD="1"/>
</file>

<file path=xl/ctrlProps/ctrlProp9.xml><?xml version="1.0" encoding="utf-8"?>
<formControlPr xmlns="http://schemas.microsoft.com/office/spreadsheetml/2009/9/main" objectType="CheckBox" fmlaLink="$AF$43" lockText="1" noThreeD="1"/>
</file>

<file path=xl/ctrlProps/ctrlProp10.xml><?xml version="1.0" encoding="utf-8"?>
<formControlPr xmlns="http://schemas.microsoft.com/office/spreadsheetml/2009/9/main" objectType="CheckBox" fmlaLink="$AF$42" lockText="1" noThreeD="1"/>
</file>

<file path=xl/ctrlProps/ctrlProp11.xml><?xml version="1.0" encoding="utf-8"?>
<formControlPr xmlns="http://schemas.microsoft.com/office/spreadsheetml/2009/9/main" objectType="CheckBox" fmlaLink="$AF$46" lockText="1" noThreeD="1"/>
</file>

<file path=xl/ctrlProps/ctrlProp12.xml><?xml version="1.0" encoding="utf-8"?>
<formControlPr xmlns="http://schemas.microsoft.com/office/spreadsheetml/2009/9/main" objectType="CheckBox" fmlaLink="$AF$47" lockText="1" noThreeD="1"/>
</file>

<file path=xl/ctrlProps/ctrlProp13.xml><?xml version="1.0" encoding="utf-8"?>
<formControlPr xmlns="http://schemas.microsoft.com/office/spreadsheetml/2009/9/main" objectType="CheckBox" checked="Checked" fmlaLink="$AF$48" lockText="1" noThreeD="1"/>
</file>

<file path=xl/ctrlProps/ctrlProp14.xml><?xml version="1.0" encoding="utf-8"?>
<formControlPr xmlns="http://schemas.microsoft.com/office/spreadsheetml/2009/9/main" objectType="CheckBox" fmlaLink="$AF$49" lockText="1" noThreeD="1"/>
</file>

<file path=xl/ctrlProps/ctrlProp15.xml><?xml version="1.0" encoding="utf-8"?>
<formControlPr xmlns="http://schemas.microsoft.com/office/spreadsheetml/2009/9/main" objectType="CheckBox" checked="Checked" fmlaLink="$AF$38" lockText="1" noThreeD="1"/>
</file>

<file path=xl/ctrlProps/ctrlProp16.xml><?xml version="1.0" encoding="utf-8"?>
<formControlPr xmlns="http://schemas.microsoft.com/office/spreadsheetml/2009/9/main" objectType="CheckBox" fmlaLink="$AF$39" lockText="1" noThreeD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CheckBox" checked="Checked" fmlaLink="E31" lockText="1" noThreeD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Spin" dx="16" fmlaLink="$L$10" inc="5" max="20000" page="10" val="9706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Spin" dx="16" fmlaLink="$L$10" inc="5" max="20000" page="10" val="9706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Spin" dx="16" fmlaLink="$L$10" inc="5" max="20000" page="10" val="9706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Spin" dx="16" fmlaLink="$L$10" inc="5" max="20000" page="10" val="9706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Spin" dx="15" fmlaLink="$E$16" inc="5" max="20000" page="10" val="9843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CheckBox" fmlaLink="B28" lockText="1" noThreeD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Spin" dx="15" fmlaLink="$E$16" inc="5" max="20000" page="10" val="9962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CheckBox" fmlaLink="B28" lockText="1" noThreeD="1"/>
</file>

<file path=xl/ctrlProps/ctrlProp66.xml><?xml version="1.0" encoding="utf-8"?>
<formControlPr xmlns="http://schemas.microsoft.com/office/spreadsheetml/2009/9/main" objectType="Spin" dx="15" fmlaLink="$E$16" inc="5" max="20000" page="10" val="8750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CheckBox" fmlaLink="B28" lockText="1" noThreeD="1"/>
</file>

<file path=xl/ctrlProps/ctrlProp69.xml><?xml version="1.0" encoding="utf-8"?>
<formControlPr xmlns="http://schemas.microsoft.com/office/spreadsheetml/2009/9/main" objectType="Spin" dx="15" fmlaLink="$E$16" inc="5" max="20000" page="10" val="9549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CheckBox" fmlaLink="B28" lockText="1" noThreeD="1"/>
</file>

<file path=xl/ctrlProps/ctrlProp72.xml><?xml version="1.0" encoding="utf-8"?>
<formControlPr xmlns="http://schemas.microsoft.com/office/spreadsheetml/2009/9/main" objectType="Spin" dx="15" fmlaLink="$E$16" inc="5" max="20000" page="10" val="9843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CheckBox" fmlaLink="B28" lockText="1" noThreeD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Spin" dx="15" fmlaLink="$E$16" inc="5" max="20000" page="10" val="9962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CheckBox" fmlaLink="B28" lockText="1" noThreeD="1"/>
</file>

<file path=xl/ctrlProps/ctrlProp84.xml><?xml version="1.0" encoding="utf-8"?>
<formControlPr xmlns="http://schemas.microsoft.com/office/spreadsheetml/2009/9/main" objectType="Spin" dx="15" fmlaLink="$E$16" inc="5" max="20000" page="10" val="8750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CheckBox" fmlaLink="B28" lockText="1" noThreeD="1"/>
</file>

<file path=xl/ctrlProps/ctrlProp87.xml><?xml version="1.0" encoding="utf-8"?>
<formControlPr xmlns="http://schemas.microsoft.com/office/spreadsheetml/2009/9/main" objectType="Spin" dx="15" fmlaLink="$E$16" inc="5" max="20000" page="10" val="9549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CheckBox" fmlaLink="B28" lockText="1" noThreeD="1"/>
</file>

<file path=xl/ctrlProps/ctrlProp90.xml><?xml version="1.0" encoding="utf-8"?>
<formControlPr xmlns="http://schemas.microsoft.com/office/spreadsheetml/2009/9/main" objectType="Spin" dx="15" fmlaLink="$E$16" inc="5" max="20000" page="10" val="9843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CheckBox" fmlaLink="B28" lockText="1" noThreeD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Spin" dx="15" fmlaLink="$E$16" inc="5" max="20000" page="10" val="9962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CheckBox" fmlaLink="B28" lockText="1" noThreeD="1"/>
</file>

<file path=xl/ctrlProps/ctrlProp102.xml><?xml version="1.0" encoding="utf-8"?>
<formControlPr xmlns="http://schemas.microsoft.com/office/spreadsheetml/2009/9/main" objectType="Spin" dx="15" fmlaLink="$E$16" inc="5" max="20000" page="10" val="8750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CheckBox" fmlaLink="B28" lockText="1" noThreeD="1"/>
</file>

<file path=xl/ctrlProps/ctrlProp105.xml><?xml version="1.0" encoding="utf-8"?>
<formControlPr xmlns="http://schemas.microsoft.com/office/spreadsheetml/2009/9/main" objectType="Spin" dx="15" fmlaLink="$E$16" inc="5" max="20000" page="10" val="9549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CheckBox" fmlaLink="B28" lockText="1" noThreeD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5.jpeg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image" Target="../media/image5.jpeg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image" Target="../media/image5.jpe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image" Target="../media/image5.jpeg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image" Target="../media/image5.jpeg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image" Target="../media/image5.jpe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2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2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2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31</xdr:row>
          <xdr:rowOff>28575</xdr:rowOff>
        </xdr:from>
        <xdr:to>
          <xdr:col>0</xdr:col>
          <xdr:colOff>428625</xdr:colOff>
          <xdr:row>31</xdr:row>
          <xdr:rowOff>161925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0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32</xdr:row>
          <xdr:rowOff>28575</xdr:rowOff>
        </xdr:from>
        <xdr:to>
          <xdr:col>0</xdr:col>
          <xdr:colOff>428625</xdr:colOff>
          <xdr:row>32</xdr:row>
          <xdr:rowOff>161925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0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33</xdr:row>
          <xdr:rowOff>28575</xdr:rowOff>
        </xdr:from>
        <xdr:to>
          <xdr:col>0</xdr:col>
          <xdr:colOff>428625</xdr:colOff>
          <xdr:row>33</xdr:row>
          <xdr:rowOff>161925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0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34</xdr:row>
          <xdr:rowOff>28575</xdr:rowOff>
        </xdr:from>
        <xdr:to>
          <xdr:col>0</xdr:col>
          <xdr:colOff>428625</xdr:colOff>
          <xdr:row>34</xdr:row>
          <xdr:rowOff>161925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0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18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47626</xdr:rowOff>
    </xdr:from>
    <xdr:to>
      <xdr:col>0</xdr:col>
      <xdr:colOff>522506</xdr:colOff>
      <xdr:row>2</xdr:row>
      <xdr:rowOff>38100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7626"/>
          <a:ext cx="522506" cy="5429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257175</xdr:colOff>
          <xdr:row>56</xdr:row>
          <xdr:rowOff>161925</xdr:rowOff>
        </xdr:from>
        <xdr:to>
          <xdr:col>6</xdr:col>
          <xdr:colOff>200025</xdr:colOff>
          <xdr:row>58</xdr:row>
          <xdr:rowOff>0</xdr:rowOff>
        </xdr:to>
        <xdr:sp macro="" textlink="">
          <xdr:nvSpPr>
            <xdr:cNvPr id="177169" name="Check Box 17" hidden="1">
              <a:extLst>
                <a:ext uri="{63B3BB69-23CF-44E3-9099-C40C66FF867C}">
                  <a14:compatExt spid="_x0000_s177169"/>
                </a:ext>
                <a:ext uri="{FF2B5EF4-FFF2-40B4-BE49-F238E27FC236}">
                  <a16:creationId xmlns:a16="http://schemas.microsoft.com/office/drawing/2014/main" id="{00000000-0008-0000-0100-000011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257175</xdr:colOff>
          <xdr:row>55</xdr:row>
          <xdr:rowOff>152400</xdr:rowOff>
        </xdr:from>
        <xdr:to>
          <xdr:col>6</xdr:col>
          <xdr:colOff>200025</xdr:colOff>
          <xdr:row>57</xdr:row>
          <xdr:rowOff>0</xdr:rowOff>
        </xdr:to>
        <xdr:sp macro="" textlink="">
          <xdr:nvSpPr>
            <xdr:cNvPr id="177170" name="Check Box 18" hidden="1">
              <a:extLst>
                <a:ext uri="{63B3BB69-23CF-44E3-9099-C40C66FF867C}">
                  <a14:compatExt spid="_x0000_s177170"/>
                </a:ext>
                <a:ext uri="{FF2B5EF4-FFF2-40B4-BE49-F238E27FC236}">
                  <a16:creationId xmlns:a16="http://schemas.microsoft.com/office/drawing/2014/main" id="{00000000-0008-0000-0100-000012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56</xdr:row>
          <xdr:rowOff>152400</xdr:rowOff>
        </xdr:from>
        <xdr:to>
          <xdr:col>12</xdr:col>
          <xdr:colOff>209550</xdr:colOff>
          <xdr:row>58</xdr:row>
          <xdr:rowOff>0</xdr:rowOff>
        </xdr:to>
        <xdr:sp macro="" textlink="">
          <xdr:nvSpPr>
            <xdr:cNvPr id="177171" name="Check Box 19" hidden="1">
              <a:extLst>
                <a:ext uri="{63B3BB69-23CF-44E3-9099-C40C66FF867C}">
                  <a14:compatExt spid="_x0000_s177171"/>
                </a:ext>
                <a:ext uri="{FF2B5EF4-FFF2-40B4-BE49-F238E27FC236}">
                  <a16:creationId xmlns:a16="http://schemas.microsoft.com/office/drawing/2014/main" id="{00000000-0008-0000-0100-000013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55</xdr:row>
          <xdr:rowOff>152400</xdr:rowOff>
        </xdr:from>
        <xdr:to>
          <xdr:col>12</xdr:col>
          <xdr:colOff>209550</xdr:colOff>
          <xdr:row>57</xdr:row>
          <xdr:rowOff>0</xdr:rowOff>
        </xdr:to>
        <xdr:sp macro="" textlink="">
          <xdr:nvSpPr>
            <xdr:cNvPr id="177172" name="Check Box 20" hidden="1">
              <a:extLst>
                <a:ext uri="{63B3BB69-23CF-44E3-9099-C40C66FF867C}">
                  <a14:compatExt spid="_x0000_s177172"/>
                </a:ext>
                <a:ext uri="{FF2B5EF4-FFF2-40B4-BE49-F238E27FC236}">
                  <a16:creationId xmlns:a16="http://schemas.microsoft.com/office/drawing/2014/main" id="{00000000-0008-0000-0100-000014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55</xdr:row>
          <xdr:rowOff>152400</xdr:rowOff>
        </xdr:from>
        <xdr:to>
          <xdr:col>26</xdr:col>
          <xdr:colOff>180975</xdr:colOff>
          <xdr:row>57</xdr:row>
          <xdr:rowOff>0</xdr:rowOff>
        </xdr:to>
        <xdr:sp macro="" textlink="">
          <xdr:nvSpPr>
            <xdr:cNvPr id="177173" name="Check Box 21" hidden="1">
              <a:extLst>
                <a:ext uri="{63B3BB69-23CF-44E3-9099-C40C66FF867C}">
                  <a14:compatExt spid="_x0000_s177173"/>
                </a:ext>
                <a:ext uri="{FF2B5EF4-FFF2-40B4-BE49-F238E27FC236}">
                  <a16:creationId xmlns:a16="http://schemas.microsoft.com/office/drawing/2014/main" id="{00000000-0008-0000-0100-000015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55</xdr:row>
          <xdr:rowOff>161925</xdr:rowOff>
        </xdr:from>
        <xdr:to>
          <xdr:col>21</xdr:col>
          <xdr:colOff>200025</xdr:colOff>
          <xdr:row>57</xdr:row>
          <xdr:rowOff>0</xdr:rowOff>
        </xdr:to>
        <xdr:sp macro="" textlink="">
          <xdr:nvSpPr>
            <xdr:cNvPr id="177174" name="Check Box 22" hidden="1">
              <a:extLst>
                <a:ext uri="{63B3BB69-23CF-44E3-9099-C40C66FF867C}">
                  <a14:compatExt spid="_x0000_s177174"/>
                </a:ext>
                <a:ext uri="{FF2B5EF4-FFF2-40B4-BE49-F238E27FC236}">
                  <a16:creationId xmlns:a16="http://schemas.microsoft.com/office/drawing/2014/main" id="{00000000-0008-0000-0100-000016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56</xdr:row>
          <xdr:rowOff>152400</xdr:rowOff>
        </xdr:from>
        <xdr:to>
          <xdr:col>21</xdr:col>
          <xdr:colOff>200025</xdr:colOff>
          <xdr:row>58</xdr:row>
          <xdr:rowOff>0</xdr:rowOff>
        </xdr:to>
        <xdr:sp macro="" textlink="">
          <xdr:nvSpPr>
            <xdr:cNvPr id="177175" name="Check Box 23" hidden="1">
              <a:extLst>
                <a:ext uri="{63B3BB69-23CF-44E3-9099-C40C66FF867C}">
                  <a14:compatExt spid="_x0000_s177175"/>
                </a:ext>
                <a:ext uri="{FF2B5EF4-FFF2-40B4-BE49-F238E27FC236}">
                  <a16:creationId xmlns:a16="http://schemas.microsoft.com/office/drawing/2014/main" id="{00000000-0008-0000-0100-000017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23</xdr:col>
      <xdr:colOff>19049</xdr:colOff>
      <xdr:row>0</xdr:row>
      <xdr:rowOff>38100</xdr:rowOff>
    </xdr:from>
    <xdr:to>
      <xdr:col>26</xdr:col>
      <xdr:colOff>200024</xdr:colOff>
      <xdr:row>4</xdr:row>
      <xdr:rowOff>75557</xdr:rowOff>
    </xdr:to>
    <xdr:pic>
      <xdr:nvPicPr>
        <xdr:cNvPr id="25" name="image2.jpeg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48374" y="38100"/>
          <a:ext cx="981075" cy="7708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38100</xdr:colOff>
      <xdr:row>1</xdr:row>
      <xdr:rowOff>9525</xdr:rowOff>
    </xdr:from>
    <xdr:to>
      <xdr:col>4</xdr:col>
      <xdr:colOff>161925</xdr:colOff>
      <xdr:row>3</xdr:row>
      <xdr:rowOff>171450</xdr:rowOff>
    </xdr:to>
    <xdr:pic>
      <xdr:nvPicPr>
        <xdr:cNvPr id="26" name="Picture 71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190500"/>
          <a:ext cx="1238250" cy="571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63</xdr:row>
          <xdr:rowOff>161925</xdr:rowOff>
        </xdr:from>
        <xdr:to>
          <xdr:col>9</xdr:col>
          <xdr:colOff>209550</xdr:colOff>
          <xdr:row>65</xdr:row>
          <xdr:rowOff>0</xdr:rowOff>
        </xdr:to>
        <xdr:sp macro="" textlink="">
          <xdr:nvSpPr>
            <xdr:cNvPr id="177189" name="Check Box 37" hidden="1">
              <a:extLst>
                <a:ext uri="{63B3BB69-23CF-44E3-9099-C40C66FF867C}">
                  <a14:compatExt spid="_x0000_s177189"/>
                </a:ext>
                <a:ext uri="{FF2B5EF4-FFF2-40B4-BE49-F238E27FC236}">
                  <a16:creationId xmlns:a16="http://schemas.microsoft.com/office/drawing/2014/main" id="{00000000-0008-0000-0100-000025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28575</xdr:colOff>
          <xdr:row>63</xdr:row>
          <xdr:rowOff>152400</xdr:rowOff>
        </xdr:from>
        <xdr:to>
          <xdr:col>15</xdr:col>
          <xdr:colOff>228600</xdr:colOff>
          <xdr:row>65</xdr:row>
          <xdr:rowOff>0</xdr:rowOff>
        </xdr:to>
        <xdr:sp macro="" textlink="">
          <xdr:nvSpPr>
            <xdr:cNvPr id="177190" name="Check Box 38" hidden="1">
              <a:extLst>
                <a:ext uri="{63B3BB69-23CF-44E3-9099-C40C66FF867C}">
                  <a14:compatExt spid="_x0000_s177190"/>
                </a:ext>
                <a:ext uri="{FF2B5EF4-FFF2-40B4-BE49-F238E27FC236}">
                  <a16:creationId xmlns:a16="http://schemas.microsoft.com/office/drawing/2014/main" id="{00000000-0008-0000-0100-000026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38100</xdr:colOff>
          <xdr:row>63</xdr:row>
          <xdr:rowOff>152400</xdr:rowOff>
        </xdr:from>
        <xdr:to>
          <xdr:col>21</xdr:col>
          <xdr:colOff>238125</xdr:colOff>
          <xdr:row>65</xdr:row>
          <xdr:rowOff>0</xdr:rowOff>
        </xdr:to>
        <xdr:sp macro="" textlink="">
          <xdr:nvSpPr>
            <xdr:cNvPr id="177191" name="Check Box 39" hidden="1">
              <a:extLst>
                <a:ext uri="{63B3BB69-23CF-44E3-9099-C40C66FF867C}">
                  <a14:compatExt spid="_x0000_s177191"/>
                </a:ext>
                <a:ext uri="{FF2B5EF4-FFF2-40B4-BE49-F238E27FC236}">
                  <a16:creationId xmlns:a16="http://schemas.microsoft.com/office/drawing/2014/main" id="{00000000-0008-0000-0100-000027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</xdr:colOff>
          <xdr:row>27</xdr:row>
          <xdr:rowOff>152400</xdr:rowOff>
        </xdr:from>
        <xdr:to>
          <xdr:col>12</xdr:col>
          <xdr:colOff>228600</xdr:colOff>
          <xdr:row>29</xdr:row>
          <xdr:rowOff>19050</xdr:rowOff>
        </xdr:to>
        <xdr:sp macro="" textlink="">
          <xdr:nvSpPr>
            <xdr:cNvPr id="177239" name="Check Box 87" hidden="1">
              <a:extLst>
                <a:ext uri="{63B3BB69-23CF-44E3-9099-C40C66FF867C}">
                  <a14:compatExt spid="_x0000_s177239"/>
                </a:ext>
                <a:ext uri="{FF2B5EF4-FFF2-40B4-BE49-F238E27FC236}">
                  <a16:creationId xmlns:a16="http://schemas.microsoft.com/office/drawing/2014/main" id="{00000000-0008-0000-0100-000057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38100</xdr:colOff>
          <xdr:row>27</xdr:row>
          <xdr:rowOff>152400</xdr:rowOff>
        </xdr:from>
        <xdr:to>
          <xdr:col>18</xdr:col>
          <xdr:colOff>238125</xdr:colOff>
          <xdr:row>29</xdr:row>
          <xdr:rowOff>19050</xdr:rowOff>
        </xdr:to>
        <xdr:sp macro="" textlink="">
          <xdr:nvSpPr>
            <xdr:cNvPr id="177240" name="Check Box 88" hidden="1">
              <a:extLst>
                <a:ext uri="{63B3BB69-23CF-44E3-9099-C40C66FF867C}">
                  <a14:compatExt spid="_x0000_s177240"/>
                </a:ext>
                <a:ext uri="{FF2B5EF4-FFF2-40B4-BE49-F238E27FC236}">
                  <a16:creationId xmlns:a16="http://schemas.microsoft.com/office/drawing/2014/main" id="{00000000-0008-0000-0100-000058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1695450</xdr:colOff>
          <xdr:row>0</xdr:row>
          <xdr:rowOff>238125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3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6</xdr:row>
          <xdr:rowOff>66675</xdr:rowOff>
        </xdr:from>
        <xdr:to>
          <xdr:col>2</xdr:col>
          <xdr:colOff>495300</xdr:colOff>
          <xdr:row>7</xdr:row>
          <xdr:rowOff>123825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3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Specs from RFQ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6</xdr:row>
          <xdr:rowOff>66675</xdr:rowOff>
        </xdr:from>
        <xdr:to>
          <xdr:col>4</xdr:col>
          <xdr:colOff>1009650</xdr:colOff>
          <xdr:row>7</xdr:row>
          <xdr:rowOff>123825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3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Recalculate Initial Backbend 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4</xdr:col>
          <xdr:colOff>123825</xdr:colOff>
          <xdr:row>0</xdr:row>
          <xdr:rowOff>295275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6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7888</xdr:colOff>
      <xdr:row>0</xdr:row>
      <xdr:rowOff>47493</xdr:rowOff>
    </xdr:from>
    <xdr:to>
      <xdr:col>9</xdr:col>
      <xdr:colOff>542925</xdr:colOff>
      <xdr:row>7</xdr:row>
      <xdr:rowOff>179178</xdr:rowOff>
    </xdr:to>
    <xdr:pic>
      <xdr:nvPicPr>
        <xdr:cNvPr id="1282" name="Picture 5">
          <a:extLst>
            <a:ext uri="{FF2B5EF4-FFF2-40B4-BE49-F238E27FC236}">
              <a16:creationId xmlns:a16="http://schemas.microsoft.com/office/drawing/2014/main" id="{00000000-0008-0000-0700-00000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6275338" y="47493"/>
          <a:ext cx="1811387" cy="15223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1343025</xdr:colOff>
          <xdr:row>31</xdr:row>
          <xdr:rowOff>161925</xdr:rowOff>
        </xdr:from>
        <xdr:to>
          <xdr:col>1</xdr:col>
          <xdr:colOff>990600</xdr:colOff>
          <xdr:row>32</xdr:row>
          <xdr:rowOff>142875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7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Reel Model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32</xdr:row>
          <xdr:rowOff>161925</xdr:rowOff>
        </xdr:from>
        <xdr:to>
          <xdr:col>1</xdr:col>
          <xdr:colOff>1038225</xdr:colOff>
          <xdr:row>34</xdr:row>
          <xdr:rowOff>0</xdr:rowOff>
        </xdr:to>
        <xdr:sp macro="" textlink="">
          <xdr:nvSpPr>
            <xdr:cNvPr id="1296" name="ComboBox21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7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1343025</xdr:colOff>
          <xdr:row>34</xdr:row>
          <xdr:rowOff>19050</xdr:rowOff>
        </xdr:from>
        <xdr:to>
          <xdr:col>1</xdr:col>
          <xdr:colOff>647700</xdr:colOff>
          <xdr:row>35</xdr:row>
          <xdr:rowOff>19050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7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Hyd. Drive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34</xdr:row>
          <xdr:rowOff>9525</xdr:rowOff>
        </xdr:from>
        <xdr:to>
          <xdr:col>4</xdr:col>
          <xdr:colOff>352425</xdr:colOff>
          <xdr:row>35</xdr:row>
          <xdr:rowOff>9525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7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Hold Down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76200</xdr:colOff>
          <xdr:row>0</xdr:row>
          <xdr:rowOff>180975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7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41</xdr:row>
          <xdr:rowOff>142875</xdr:rowOff>
        </xdr:from>
        <xdr:to>
          <xdr:col>1</xdr:col>
          <xdr:colOff>9525</xdr:colOff>
          <xdr:row>42</xdr:row>
          <xdr:rowOff>133350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7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Backbend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42</xdr:row>
          <xdr:rowOff>142875</xdr:rowOff>
        </xdr:from>
        <xdr:to>
          <xdr:col>1</xdr:col>
          <xdr:colOff>9525</xdr:colOff>
          <xdr:row>43</xdr:row>
          <xdr:rowOff>133350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7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40</xdr:row>
          <xdr:rowOff>142875</xdr:rowOff>
        </xdr:from>
        <xdr:to>
          <xdr:col>1</xdr:col>
          <xdr:colOff>9525</xdr:colOff>
          <xdr:row>41</xdr:row>
          <xdr:rowOff>133350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7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Str. Utility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39</xdr:row>
          <xdr:rowOff>133350</xdr:rowOff>
        </xdr:from>
        <xdr:to>
          <xdr:col>1</xdr:col>
          <xdr:colOff>9525</xdr:colOff>
          <xdr:row>40</xdr:row>
          <xdr:rowOff>133350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7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Equipment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37</xdr:row>
          <xdr:rowOff>114300</xdr:rowOff>
        </xdr:from>
        <xdr:to>
          <xdr:col>1</xdr:col>
          <xdr:colOff>9525</xdr:colOff>
          <xdr:row>38</xdr:row>
          <xdr:rowOff>114300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7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RFQ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38</xdr:row>
          <xdr:rowOff>123825</xdr:rowOff>
        </xdr:from>
        <xdr:to>
          <xdr:col>1</xdr:col>
          <xdr:colOff>9525</xdr:colOff>
          <xdr:row>39</xdr:row>
          <xdr:rowOff>123825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7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Material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30</xdr:row>
          <xdr:rowOff>19050</xdr:rowOff>
        </xdr:from>
        <xdr:to>
          <xdr:col>5</xdr:col>
          <xdr:colOff>495300</xdr:colOff>
          <xdr:row>31</xdr:row>
          <xdr:rowOff>0</xdr:rowOff>
        </xdr:to>
        <xdr:sp macro="" textlink="">
          <xdr:nvSpPr>
            <xdr:cNvPr id="1319" name="Check Box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7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Confirmed Min Width OK</a:t>
              </a: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66675</xdr:colOff>
          <xdr:row>1</xdr:row>
          <xdr:rowOff>28575</xdr:rowOff>
        </xdr:to>
        <xdr:sp macro="" textlink="">
          <xdr:nvSpPr>
            <xdr:cNvPr id="81928" name="Button 8" hidden="1">
              <a:extLst>
                <a:ext uri="{63B3BB69-23CF-44E3-9099-C40C66FF867C}">
                  <a14:compatExt spid="_x0000_s81928"/>
                </a:ext>
                <a:ext uri="{FF2B5EF4-FFF2-40B4-BE49-F238E27FC236}">
                  <a16:creationId xmlns:a16="http://schemas.microsoft.com/office/drawing/2014/main" id="{00000000-0008-0000-0800-000008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7888</xdr:colOff>
      <xdr:row>0</xdr:row>
      <xdr:rowOff>47494</xdr:rowOff>
    </xdr:from>
    <xdr:to>
      <xdr:col>9</xdr:col>
      <xdr:colOff>542050</xdr:colOff>
      <xdr:row>7</xdr:row>
      <xdr:rowOff>178444</xdr:rowOff>
    </xdr:to>
    <xdr:pic>
      <xdr:nvPicPr>
        <xdr:cNvPr id="10" name="Picture 5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6275338" y="47494"/>
          <a:ext cx="1810512" cy="152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66675</xdr:colOff>
          <xdr:row>1</xdr:row>
          <xdr:rowOff>28575</xdr:rowOff>
        </xdr:to>
        <xdr:sp macro="" textlink="">
          <xdr:nvSpPr>
            <xdr:cNvPr id="145409" name="Button 1" hidden="1">
              <a:extLst>
                <a:ext uri="{63B3BB69-23CF-44E3-9099-C40C66FF867C}">
                  <a14:compatExt spid="_x0000_s145409"/>
                </a:ext>
                <a:ext uri="{FF2B5EF4-FFF2-40B4-BE49-F238E27FC236}">
                  <a16:creationId xmlns:a16="http://schemas.microsoft.com/office/drawing/2014/main" id="{00000000-0008-0000-0900-000001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9525</xdr:colOff>
      <xdr:row>0</xdr:row>
      <xdr:rowOff>47494</xdr:rowOff>
    </xdr:from>
    <xdr:to>
      <xdr:col>9</xdr:col>
      <xdr:colOff>548533</xdr:colOff>
      <xdr:row>8</xdr:row>
      <xdr:rowOff>2917</xdr:rowOff>
    </xdr:to>
    <xdr:pic>
      <xdr:nvPicPr>
        <xdr:cNvPr id="4" name="Picture 5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6391275" y="47494"/>
          <a:ext cx="1815358" cy="15270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66675</xdr:colOff>
          <xdr:row>1</xdr:row>
          <xdr:rowOff>28575</xdr:rowOff>
        </xdr:to>
        <xdr:sp macro="" textlink="">
          <xdr:nvSpPr>
            <xdr:cNvPr id="228353" name="Button 1" hidden="1">
              <a:extLst>
                <a:ext uri="{63B3BB69-23CF-44E3-9099-C40C66FF867C}">
                  <a14:compatExt spid="_x0000_s228353"/>
                </a:ext>
                <a:ext uri="{FF2B5EF4-FFF2-40B4-BE49-F238E27FC236}">
                  <a16:creationId xmlns:a16="http://schemas.microsoft.com/office/drawing/2014/main" id="{00000000-0008-0000-0A00-0000017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7888</xdr:colOff>
      <xdr:row>0</xdr:row>
      <xdr:rowOff>47494</xdr:rowOff>
    </xdr:from>
    <xdr:to>
      <xdr:col>9</xdr:col>
      <xdr:colOff>548533</xdr:colOff>
      <xdr:row>8</xdr:row>
      <xdr:rowOff>2917</xdr:rowOff>
    </xdr:to>
    <xdr:pic>
      <xdr:nvPicPr>
        <xdr:cNvPr id="4" name="Picture 5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6275338" y="47494"/>
          <a:ext cx="1816995" cy="15270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257175</xdr:colOff>
      <xdr:row>0</xdr:row>
      <xdr:rowOff>19050</xdr:rowOff>
    </xdr:from>
    <xdr:to>
      <xdr:col>7</xdr:col>
      <xdr:colOff>238125</xdr:colOff>
      <xdr:row>6</xdr:row>
      <xdr:rowOff>85725</xdr:rowOff>
    </xdr:to>
    <xdr:pic>
      <xdr:nvPicPr>
        <xdr:cNvPr id="2" name="Picture 5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5175" y="19050"/>
          <a:ext cx="1200150" cy="1038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257175</xdr:colOff>
      <xdr:row>0</xdr:row>
      <xdr:rowOff>19050</xdr:rowOff>
    </xdr:from>
    <xdr:to>
      <xdr:col>7</xdr:col>
      <xdr:colOff>238125</xdr:colOff>
      <xdr:row>6</xdr:row>
      <xdr:rowOff>85725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91100" y="19050"/>
          <a:ext cx="1809750" cy="1257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257175</xdr:colOff>
      <xdr:row>0</xdr:row>
      <xdr:rowOff>19050</xdr:rowOff>
    </xdr:from>
    <xdr:to>
      <xdr:col>7</xdr:col>
      <xdr:colOff>238125</xdr:colOff>
      <xdr:row>6</xdr:row>
      <xdr:rowOff>85725</xdr:rowOff>
    </xdr:to>
    <xdr:pic>
      <xdr:nvPicPr>
        <xdr:cNvPr id="9" name="Picture 5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29275" y="19050"/>
          <a:ext cx="1855470" cy="12325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19050</xdr:rowOff>
        </xdr:from>
        <xdr:to>
          <xdr:col>1</xdr:col>
          <xdr:colOff>28575</xdr:colOff>
          <xdr:row>1</xdr:row>
          <xdr:rowOff>19050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B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8</xdr:row>
          <xdr:rowOff>0</xdr:rowOff>
        </xdr:from>
        <xdr:to>
          <xdr:col>10</xdr:col>
          <xdr:colOff>0</xdr:colOff>
          <xdr:row>10</xdr:row>
          <xdr:rowOff>0</xdr:rowOff>
        </xdr:to>
        <xdr:sp macro="" textlink="">
          <xdr:nvSpPr>
            <xdr:cNvPr id="6145" name="Spinner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C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209550</xdr:colOff>
      <xdr:row>0</xdr:row>
      <xdr:rowOff>165734</xdr:rowOff>
    </xdr:from>
    <xdr:to>
      <xdr:col>8</xdr:col>
      <xdr:colOff>952500</xdr:colOff>
      <xdr:row>9</xdr:row>
      <xdr:rowOff>31556</xdr:rowOff>
    </xdr:to>
    <xdr:pic>
      <xdr:nvPicPr>
        <xdr:cNvPr id="3" name="Picture 5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67400" y="165734"/>
          <a:ext cx="2343150" cy="162794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0</xdr:colOff>
      <xdr:row>11</xdr:row>
      <xdr:rowOff>171450</xdr:rowOff>
    </xdr:from>
    <xdr:to>
      <xdr:col>2</xdr:col>
      <xdr:colOff>19050</xdr:colOff>
      <xdr:row>13</xdr:row>
      <xdr:rowOff>19050</xdr:rowOff>
    </xdr:to>
    <xdr:sp macro="" textlink="">
      <xdr:nvSpPr>
        <xdr:cNvPr id="6151" name="ComboBox22" hidden="1">
          <a:extLst>
            <a:ext uri="{63B3BB69-23CF-44E3-9099-C40C66FF867C}">
              <a14:compatExt xmlns:a14="http://schemas.microsoft.com/office/drawing/2010/main" spid="_x0000_s6151"/>
            </a:ext>
            <a:ext uri="{FF2B5EF4-FFF2-40B4-BE49-F238E27FC236}">
              <a16:creationId xmlns:a16="http://schemas.microsoft.com/office/drawing/2014/main" id="{00000000-0008-0000-0C00-0000071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180975</xdr:colOff>
          <xdr:row>1</xdr:row>
          <xdr:rowOff>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C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35</xdr:row>
          <xdr:rowOff>19050</xdr:rowOff>
        </xdr:from>
        <xdr:to>
          <xdr:col>9</xdr:col>
          <xdr:colOff>9525</xdr:colOff>
          <xdr:row>36</xdr:row>
          <xdr:rowOff>19050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C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Backbend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36</xdr:row>
          <xdr:rowOff>28575</xdr:rowOff>
        </xdr:from>
        <xdr:to>
          <xdr:col>9</xdr:col>
          <xdr:colOff>9525</xdr:colOff>
          <xdr:row>37</xdr:row>
          <xdr:rowOff>28575</xdr:rowOff>
        </xdr:to>
        <xdr:sp macro="" textlink="">
          <xdr:nvSpPr>
            <xdr:cNvPr id="6155" name="Button 1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C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9</xdr:col>
          <xdr:colOff>9525</xdr:colOff>
          <xdr:row>35</xdr:row>
          <xdr:rowOff>9525</xdr:rowOff>
        </xdr:to>
        <xdr:sp macro="" textlink="">
          <xdr:nvSpPr>
            <xdr:cNvPr id="6156" name="Button 12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C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TD, DB, HD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171450</xdr:rowOff>
        </xdr:from>
        <xdr:to>
          <xdr:col>9</xdr:col>
          <xdr:colOff>9525</xdr:colOff>
          <xdr:row>33</xdr:row>
          <xdr:rowOff>180975</xdr:rowOff>
        </xdr:to>
        <xdr:sp macro="" textlink="">
          <xdr:nvSpPr>
            <xdr:cNvPr id="6157" name="Button 13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00000000-0008-0000-0C00-00000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Equipment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142875</xdr:rowOff>
        </xdr:from>
        <xdr:to>
          <xdr:col>9</xdr:col>
          <xdr:colOff>9525</xdr:colOff>
          <xdr:row>31</xdr:row>
          <xdr:rowOff>142875</xdr:rowOff>
        </xdr:to>
        <xdr:sp macro="" textlink="">
          <xdr:nvSpPr>
            <xdr:cNvPr id="6158" name="Button 14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C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RFQ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152400</xdr:rowOff>
        </xdr:from>
        <xdr:to>
          <xdr:col>9</xdr:col>
          <xdr:colOff>9525</xdr:colOff>
          <xdr:row>32</xdr:row>
          <xdr:rowOff>161925</xdr:rowOff>
        </xdr:to>
        <xdr:sp macro="" textlink="">
          <xdr:nvSpPr>
            <xdr:cNvPr id="6159" name="Button 15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C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Material Specs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8</xdr:row>
          <xdr:rowOff>0</xdr:rowOff>
        </xdr:from>
        <xdr:to>
          <xdr:col>10</xdr:col>
          <xdr:colOff>0</xdr:colOff>
          <xdr:row>10</xdr:row>
          <xdr:rowOff>0</xdr:rowOff>
        </xdr:to>
        <xdr:sp macro="" textlink="">
          <xdr:nvSpPr>
            <xdr:cNvPr id="8193" name="Spinner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D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209550</xdr:colOff>
      <xdr:row>0</xdr:row>
      <xdr:rowOff>165734</xdr:rowOff>
    </xdr:from>
    <xdr:to>
      <xdr:col>8</xdr:col>
      <xdr:colOff>952500</xdr:colOff>
      <xdr:row>9</xdr:row>
      <xdr:rowOff>31556</xdr:rowOff>
    </xdr:to>
    <xdr:pic>
      <xdr:nvPicPr>
        <xdr:cNvPr id="3" name="Picture 5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67400" y="165734"/>
          <a:ext cx="2343150" cy="162794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190500</xdr:colOff>
          <xdr:row>0</xdr:row>
          <xdr:rowOff>228600</xdr:rowOff>
        </xdr:to>
        <xdr:sp macro="" textlink="">
          <xdr:nvSpPr>
            <xdr:cNvPr id="8201" name="Button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D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8</xdr:row>
          <xdr:rowOff>0</xdr:rowOff>
        </xdr:from>
        <xdr:to>
          <xdr:col>10</xdr:col>
          <xdr:colOff>0</xdr:colOff>
          <xdr:row>10</xdr:row>
          <xdr:rowOff>0</xdr:rowOff>
        </xdr:to>
        <xdr:sp macro="" textlink="">
          <xdr:nvSpPr>
            <xdr:cNvPr id="144385" name="Spinner 1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E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209550</xdr:colOff>
      <xdr:row>0</xdr:row>
      <xdr:rowOff>165734</xdr:rowOff>
    </xdr:from>
    <xdr:to>
      <xdr:col>8</xdr:col>
      <xdr:colOff>952500</xdr:colOff>
      <xdr:row>9</xdr:row>
      <xdr:rowOff>31556</xdr:rowOff>
    </xdr:to>
    <xdr:pic>
      <xdr:nvPicPr>
        <xdr:cNvPr id="3" name="Picture 5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67400" y="165734"/>
          <a:ext cx="2343150" cy="162794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142875</xdr:colOff>
          <xdr:row>5</xdr:row>
          <xdr:rowOff>0</xdr:rowOff>
        </xdr:from>
        <xdr:to>
          <xdr:col>10</xdr:col>
          <xdr:colOff>828675</xdr:colOff>
          <xdr:row>6</xdr:row>
          <xdr:rowOff>0</xdr:rowOff>
        </xdr:to>
        <xdr:sp macro="" textlink="">
          <xdr:nvSpPr>
            <xdr:cNvPr id="144386" name="Button 2" hidden="1">
              <a:extLst>
                <a:ext uri="{63B3BB69-23CF-44E3-9099-C40C66FF867C}">
                  <a14:compatExt spid="_x0000_s144386"/>
                </a:ext>
                <a:ext uri="{FF2B5EF4-FFF2-40B4-BE49-F238E27FC236}">
                  <a16:creationId xmlns:a16="http://schemas.microsoft.com/office/drawing/2014/main" id="{00000000-0008-0000-0E00-000002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FPM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152400</xdr:colOff>
          <xdr:row>6</xdr:row>
          <xdr:rowOff>38100</xdr:rowOff>
        </xdr:from>
        <xdr:to>
          <xdr:col>10</xdr:col>
          <xdr:colOff>819150</xdr:colOff>
          <xdr:row>7</xdr:row>
          <xdr:rowOff>47625</xdr:rowOff>
        </xdr:to>
        <xdr:sp macro="" textlink="">
          <xdr:nvSpPr>
            <xdr:cNvPr id="144387" name="Button 3" hidden="1">
              <a:extLst>
                <a:ext uri="{63B3BB69-23CF-44E3-9099-C40C66FF867C}">
                  <a14:compatExt spid="_x0000_s144387"/>
                </a:ext>
                <a:ext uri="{FF2B5EF4-FFF2-40B4-BE49-F238E27FC236}">
                  <a16:creationId xmlns:a16="http://schemas.microsoft.com/office/drawing/2014/main" id="{00000000-0008-0000-0E00-000003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HP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190500</xdr:colOff>
          <xdr:row>0</xdr:row>
          <xdr:rowOff>228600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E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8</xdr:row>
          <xdr:rowOff>0</xdr:rowOff>
        </xdr:from>
        <xdr:to>
          <xdr:col>10</xdr:col>
          <xdr:colOff>0</xdr:colOff>
          <xdr:row>10</xdr:row>
          <xdr:rowOff>0</xdr:rowOff>
        </xdr:to>
        <xdr:sp macro="" textlink="">
          <xdr:nvSpPr>
            <xdr:cNvPr id="229377" name="Spinner 1" hidden="1">
              <a:extLst>
                <a:ext uri="{63B3BB69-23CF-44E3-9099-C40C66FF867C}">
                  <a14:compatExt spid="_x0000_s229377"/>
                </a:ext>
                <a:ext uri="{FF2B5EF4-FFF2-40B4-BE49-F238E27FC236}">
                  <a16:creationId xmlns:a16="http://schemas.microsoft.com/office/drawing/2014/main" id="{00000000-0008-0000-0F00-0000018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209550</xdr:colOff>
      <xdr:row>0</xdr:row>
      <xdr:rowOff>165734</xdr:rowOff>
    </xdr:from>
    <xdr:to>
      <xdr:col>8</xdr:col>
      <xdr:colOff>952500</xdr:colOff>
      <xdr:row>9</xdr:row>
      <xdr:rowOff>31556</xdr:rowOff>
    </xdr:to>
    <xdr:pic>
      <xdr:nvPicPr>
        <xdr:cNvPr id="3" name="Picture 5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67400" y="165734"/>
          <a:ext cx="2343150" cy="162794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142875</xdr:colOff>
          <xdr:row>5</xdr:row>
          <xdr:rowOff>0</xdr:rowOff>
        </xdr:from>
        <xdr:to>
          <xdr:col>10</xdr:col>
          <xdr:colOff>828675</xdr:colOff>
          <xdr:row>6</xdr:row>
          <xdr:rowOff>0</xdr:rowOff>
        </xdr:to>
        <xdr:sp macro="" textlink="">
          <xdr:nvSpPr>
            <xdr:cNvPr id="229378" name="Button 2" hidden="1">
              <a:extLst>
                <a:ext uri="{63B3BB69-23CF-44E3-9099-C40C66FF867C}">
                  <a14:compatExt spid="_x0000_s229378"/>
                </a:ext>
                <a:ext uri="{FF2B5EF4-FFF2-40B4-BE49-F238E27FC236}">
                  <a16:creationId xmlns:a16="http://schemas.microsoft.com/office/drawing/2014/main" id="{00000000-0008-0000-0F00-0000028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FPM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152400</xdr:colOff>
          <xdr:row>6</xdr:row>
          <xdr:rowOff>38100</xdr:rowOff>
        </xdr:from>
        <xdr:to>
          <xdr:col>10</xdr:col>
          <xdr:colOff>819150</xdr:colOff>
          <xdr:row>7</xdr:row>
          <xdr:rowOff>47625</xdr:rowOff>
        </xdr:to>
        <xdr:sp macro="" textlink="">
          <xdr:nvSpPr>
            <xdr:cNvPr id="229379" name="Button 3" hidden="1">
              <a:extLst>
                <a:ext uri="{63B3BB69-23CF-44E3-9099-C40C66FF867C}">
                  <a14:compatExt spid="_x0000_s229379"/>
                </a:ext>
                <a:ext uri="{FF2B5EF4-FFF2-40B4-BE49-F238E27FC236}">
                  <a16:creationId xmlns:a16="http://schemas.microsoft.com/office/drawing/2014/main" id="{00000000-0008-0000-0F00-0000038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HP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190500</xdr:colOff>
          <xdr:row>0</xdr:row>
          <xdr:rowOff>228600</xdr:rowOff>
        </xdr:to>
        <xdr:sp macro="" textlink="">
          <xdr:nvSpPr>
            <xdr:cNvPr id="229380" name="Button 4" hidden="1">
              <a:extLst>
                <a:ext uri="{63B3BB69-23CF-44E3-9099-C40C66FF867C}">
                  <a14:compatExt spid="_x0000_s229380"/>
                </a:ext>
                <a:ext uri="{FF2B5EF4-FFF2-40B4-BE49-F238E27FC236}">
                  <a16:creationId xmlns:a16="http://schemas.microsoft.com/office/drawing/2014/main" id="{00000000-0008-0000-0F00-0000048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9525</xdr:colOff>
          <xdr:row>14</xdr:row>
          <xdr:rowOff>9525</xdr:rowOff>
        </xdr:from>
        <xdr:to>
          <xdr:col>4</xdr:col>
          <xdr:colOff>962025</xdr:colOff>
          <xdr:row>15</xdr:row>
          <xdr:rowOff>171450</xdr:rowOff>
        </xdr:to>
        <xdr:sp macro="" textlink="">
          <xdr:nvSpPr>
            <xdr:cNvPr id="13313" name="Spinner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1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266700</xdr:rowOff>
        </xdr:from>
        <xdr:to>
          <xdr:col>4</xdr:col>
          <xdr:colOff>28575</xdr:colOff>
          <xdr:row>16</xdr:row>
          <xdr:rowOff>0</xdr:rowOff>
        </xdr:to>
        <xdr:sp macro="" textlink="">
          <xdr:nvSpPr>
            <xdr:cNvPr id="13316" name="CommandButton1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10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723900</xdr:colOff>
      <xdr:row>0</xdr:row>
      <xdr:rowOff>0</xdr:rowOff>
    </xdr:from>
    <xdr:to>
      <xdr:col>9</xdr:col>
      <xdr:colOff>205740</xdr:colOff>
      <xdr:row>8</xdr:row>
      <xdr:rowOff>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29450" y="0"/>
          <a:ext cx="2196465" cy="1476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333375</xdr:colOff>
          <xdr:row>1</xdr:row>
          <xdr:rowOff>47625</xdr:rowOff>
        </xdr:to>
        <xdr:sp macro="" textlink="">
          <xdr:nvSpPr>
            <xdr:cNvPr id="13324" name="Button 12" hidden="1">
              <a:extLst>
                <a:ext uri="{63B3BB69-23CF-44E3-9099-C40C66FF867C}">
                  <a14:compatExt spid="_x0000_s13324"/>
                </a:ext>
                <a:ext uri="{FF2B5EF4-FFF2-40B4-BE49-F238E27FC236}">
                  <a16:creationId xmlns:a16="http://schemas.microsoft.com/office/drawing/2014/main" id="{00000000-0008-0000-1000-00000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27</xdr:row>
          <xdr:rowOff>180975</xdr:rowOff>
        </xdr:from>
        <xdr:to>
          <xdr:col>1</xdr:col>
          <xdr:colOff>847725</xdr:colOff>
          <xdr:row>27</xdr:row>
          <xdr:rowOff>495300</xdr:rowOff>
        </xdr:to>
        <xdr:sp macro="" textlink="">
          <xdr:nvSpPr>
            <xdr:cNvPr id="13325" name="Check Box 13" descr="Confirmed" hidden="1">
              <a:extLst>
                <a:ext uri="{63B3BB69-23CF-44E3-9099-C40C66FF867C}">
                  <a14:compatExt spid="_x0000_s13325"/>
                </a:ext>
                <a:ext uri="{FF2B5EF4-FFF2-40B4-BE49-F238E27FC236}">
                  <a16:creationId xmlns:a16="http://schemas.microsoft.com/office/drawing/2014/main" id="{00000000-0008-0000-1000-00000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Confirmed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152400</xdr:colOff>
          <xdr:row>19</xdr:row>
          <xdr:rowOff>161925</xdr:rowOff>
        </xdr:from>
        <xdr:to>
          <xdr:col>10</xdr:col>
          <xdr:colOff>619125</xdr:colOff>
          <xdr:row>20</xdr:row>
          <xdr:rowOff>9525</xdr:rowOff>
        </xdr:to>
        <xdr:sp macro="" textlink="">
          <xdr:nvSpPr>
            <xdr:cNvPr id="13334" name="Button 22" hidden="1">
              <a:extLst>
                <a:ext uri="{63B3BB69-23CF-44E3-9099-C40C66FF867C}">
                  <a14:compatExt spid="_x0000_s13334"/>
                </a:ext>
                <a:ext uri="{FF2B5EF4-FFF2-40B4-BE49-F238E27FC236}">
                  <a16:creationId xmlns:a16="http://schemas.microsoft.com/office/drawing/2014/main" id="{00000000-0008-0000-1000-00001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152400</xdr:colOff>
          <xdr:row>18</xdr:row>
          <xdr:rowOff>95250</xdr:rowOff>
        </xdr:from>
        <xdr:to>
          <xdr:col>10</xdr:col>
          <xdr:colOff>619125</xdr:colOff>
          <xdr:row>18</xdr:row>
          <xdr:rowOff>276225</xdr:rowOff>
        </xdr:to>
        <xdr:sp macro="" textlink="">
          <xdr:nvSpPr>
            <xdr:cNvPr id="13335" name="Button 23" hidden="1">
              <a:extLst>
                <a:ext uri="{63B3BB69-23CF-44E3-9099-C40C66FF867C}">
                  <a14:compatExt spid="_x0000_s13335"/>
                </a:ext>
                <a:ext uri="{FF2B5EF4-FFF2-40B4-BE49-F238E27FC236}">
                  <a16:creationId xmlns:a16="http://schemas.microsoft.com/office/drawing/2014/main" id="{00000000-0008-0000-1000-00001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TD,DB,HD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142875</xdr:colOff>
          <xdr:row>18</xdr:row>
          <xdr:rowOff>295275</xdr:rowOff>
        </xdr:from>
        <xdr:to>
          <xdr:col>10</xdr:col>
          <xdr:colOff>619125</xdr:colOff>
          <xdr:row>19</xdr:row>
          <xdr:rowOff>152400</xdr:rowOff>
        </xdr:to>
        <xdr:sp macro="" textlink="">
          <xdr:nvSpPr>
            <xdr:cNvPr id="13336" name="Button 24" hidden="1">
              <a:extLst>
                <a:ext uri="{63B3BB69-23CF-44E3-9099-C40C66FF867C}">
                  <a14:compatExt spid="_x0000_s13336"/>
                </a:ext>
                <a:ext uri="{FF2B5EF4-FFF2-40B4-BE49-F238E27FC236}">
                  <a16:creationId xmlns:a16="http://schemas.microsoft.com/office/drawing/2014/main" id="{00000000-0008-0000-1000-00001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Str. Utility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142875</xdr:colOff>
          <xdr:row>17</xdr:row>
          <xdr:rowOff>180975</xdr:rowOff>
        </xdr:from>
        <xdr:to>
          <xdr:col>10</xdr:col>
          <xdr:colOff>619125</xdr:colOff>
          <xdr:row>18</xdr:row>
          <xdr:rowOff>85725</xdr:rowOff>
        </xdr:to>
        <xdr:sp macro="" textlink="">
          <xdr:nvSpPr>
            <xdr:cNvPr id="13337" name="Button 25" hidden="1">
              <a:extLst>
                <a:ext uri="{63B3BB69-23CF-44E3-9099-C40C66FF867C}">
                  <a14:compatExt spid="_x0000_s13337"/>
                </a:ext>
                <a:ext uri="{FF2B5EF4-FFF2-40B4-BE49-F238E27FC236}">
                  <a16:creationId xmlns:a16="http://schemas.microsoft.com/office/drawing/2014/main" id="{00000000-0008-0000-1000-00001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Equipment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142875</xdr:colOff>
          <xdr:row>15</xdr:row>
          <xdr:rowOff>180975</xdr:rowOff>
        </xdr:from>
        <xdr:to>
          <xdr:col>10</xdr:col>
          <xdr:colOff>619125</xdr:colOff>
          <xdr:row>16</xdr:row>
          <xdr:rowOff>171450</xdr:rowOff>
        </xdr:to>
        <xdr:sp macro="" textlink="">
          <xdr:nvSpPr>
            <xdr:cNvPr id="13338" name="Button 26" hidden="1">
              <a:extLst>
                <a:ext uri="{63B3BB69-23CF-44E3-9099-C40C66FF867C}">
                  <a14:compatExt spid="_x0000_s13338"/>
                </a:ext>
                <a:ext uri="{FF2B5EF4-FFF2-40B4-BE49-F238E27FC236}">
                  <a16:creationId xmlns:a16="http://schemas.microsoft.com/office/drawing/2014/main" id="{00000000-0008-0000-1000-00001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RFQ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142875</xdr:colOff>
          <xdr:row>16</xdr:row>
          <xdr:rowOff>180975</xdr:rowOff>
        </xdr:from>
        <xdr:to>
          <xdr:col>10</xdr:col>
          <xdr:colOff>619125</xdr:colOff>
          <xdr:row>17</xdr:row>
          <xdr:rowOff>171450</xdr:rowOff>
        </xdr:to>
        <xdr:sp macro="" textlink="">
          <xdr:nvSpPr>
            <xdr:cNvPr id="13339" name="Button 27" hidden="1">
              <a:extLst>
                <a:ext uri="{63B3BB69-23CF-44E3-9099-C40C66FF867C}">
                  <a14:compatExt spid="_x0000_s13339"/>
                </a:ext>
                <a:ext uri="{FF2B5EF4-FFF2-40B4-BE49-F238E27FC236}">
                  <a16:creationId xmlns:a16="http://schemas.microsoft.com/office/drawing/2014/main" id="{00000000-0008-0000-1000-00001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Material Specs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19050</xdr:colOff>
          <xdr:row>14</xdr:row>
          <xdr:rowOff>0</xdr:rowOff>
        </xdr:from>
        <xdr:to>
          <xdr:col>4</xdr:col>
          <xdr:colOff>952500</xdr:colOff>
          <xdr:row>15</xdr:row>
          <xdr:rowOff>171450</xdr:rowOff>
        </xdr:to>
        <xdr:sp macro="" textlink="">
          <xdr:nvSpPr>
            <xdr:cNvPr id="14337" name="Spinner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11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266700</xdr:rowOff>
        </xdr:from>
        <xdr:to>
          <xdr:col>4</xdr:col>
          <xdr:colOff>19050</xdr:colOff>
          <xdr:row>16</xdr:row>
          <xdr:rowOff>0</xdr:rowOff>
        </xdr:to>
        <xdr:sp macro="" textlink="">
          <xdr:nvSpPr>
            <xdr:cNvPr id="14340" name="CommandButton1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11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723900</xdr:colOff>
      <xdr:row>0</xdr:row>
      <xdr:rowOff>0</xdr:rowOff>
    </xdr:from>
    <xdr:to>
      <xdr:col>9</xdr:col>
      <xdr:colOff>205740</xdr:colOff>
      <xdr:row>8</xdr:row>
      <xdr:rowOff>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29450" y="0"/>
          <a:ext cx="2196465" cy="1590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266700</xdr:colOff>
          <xdr:row>0</xdr:row>
          <xdr:rowOff>219075</xdr:rowOff>
        </xdr:to>
        <xdr:sp macro="" textlink="">
          <xdr:nvSpPr>
            <xdr:cNvPr id="14348" name="Button 12" hidden="1">
              <a:extLst>
                <a:ext uri="{63B3BB69-23CF-44E3-9099-C40C66FF867C}">
                  <a14:compatExt spid="_x0000_s14348"/>
                </a:ext>
                <a:ext uri="{FF2B5EF4-FFF2-40B4-BE49-F238E27FC236}">
                  <a16:creationId xmlns:a16="http://schemas.microsoft.com/office/drawing/2014/main" id="{00000000-0008-0000-1100-00000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27</xdr:row>
          <xdr:rowOff>180975</xdr:rowOff>
        </xdr:from>
        <xdr:to>
          <xdr:col>1</xdr:col>
          <xdr:colOff>847725</xdr:colOff>
          <xdr:row>27</xdr:row>
          <xdr:rowOff>495300</xdr:rowOff>
        </xdr:to>
        <xdr:sp macro="" textlink="">
          <xdr:nvSpPr>
            <xdr:cNvPr id="14350" name="Check Box 14" descr="Confirmed" hidden="1">
              <a:extLst>
                <a:ext uri="{63B3BB69-23CF-44E3-9099-C40C66FF867C}">
                  <a14:compatExt spid="_x0000_s14350"/>
                </a:ext>
                <a:ext uri="{FF2B5EF4-FFF2-40B4-BE49-F238E27FC236}">
                  <a16:creationId xmlns:a16="http://schemas.microsoft.com/office/drawing/2014/main" id="{00000000-0008-0000-1100-00000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Confirmed</a:t>
              </a:r>
            </a:p>
          </xdr:txBody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28575</xdr:colOff>
          <xdr:row>14</xdr:row>
          <xdr:rowOff>0</xdr:rowOff>
        </xdr:from>
        <xdr:to>
          <xdr:col>4</xdr:col>
          <xdr:colOff>952500</xdr:colOff>
          <xdr:row>15</xdr:row>
          <xdr:rowOff>180975</xdr:rowOff>
        </xdr:to>
        <xdr:sp macro="" textlink="">
          <xdr:nvSpPr>
            <xdr:cNvPr id="146433" name="Spinner 1" hidden="1">
              <a:extLst>
                <a:ext uri="{63B3BB69-23CF-44E3-9099-C40C66FF867C}">
                  <a14:compatExt spid="_x0000_s146433"/>
                </a:ext>
                <a:ext uri="{FF2B5EF4-FFF2-40B4-BE49-F238E27FC236}">
                  <a16:creationId xmlns:a16="http://schemas.microsoft.com/office/drawing/2014/main" id="{00000000-0008-0000-1200-000001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266700</xdr:rowOff>
        </xdr:from>
        <xdr:to>
          <xdr:col>4</xdr:col>
          <xdr:colOff>19050</xdr:colOff>
          <xdr:row>16</xdr:row>
          <xdr:rowOff>0</xdr:rowOff>
        </xdr:to>
        <xdr:sp macro="" textlink="">
          <xdr:nvSpPr>
            <xdr:cNvPr id="146434" name="CommandButton1" hidden="1">
              <a:extLst>
                <a:ext uri="{63B3BB69-23CF-44E3-9099-C40C66FF867C}">
                  <a14:compatExt spid="_x0000_s146434"/>
                </a:ext>
                <a:ext uri="{FF2B5EF4-FFF2-40B4-BE49-F238E27FC236}">
                  <a16:creationId xmlns:a16="http://schemas.microsoft.com/office/drawing/2014/main" id="{00000000-0008-0000-1200-000002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723900</xdr:colOff>
      <xdr:row>0</xdr:row>
      <xdr:rowOff>0</xdr:rowOff>
    </xdr:from>
    <xdr:to>
      <xdr:col>9</xdr:col>
      <xdr:colOff>205740</xdr:colOff>
      <xdr:row>8</xdr:row>
      <xdr:rowOff>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29450" y="0"/>
          <a:ext cx="2196465" cy="1590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266700</xdr:colOff>
          <xdr:row>0</xdr:row>
          <xdr:rowOff>219075</xdr:rowOff>
        </xdr:to>
        <xdr:sp macro="" textlink="">
          <xdr:nvSpPr>
            <xdr:cNvPr id="146435" name="Button 3" hidden="1">
              <a:extLst>
                <a:ext uri="{63B3BB69-23CF-44E3-9099-C40C66FF867C}">
                  <a14:compatExt spid="_x0000_s146435"/>
                </a:ext>
                <a:ext uri="{FF2B5EF4-FFF2-40B4-BE49-F238E27FC236}">
                  <a16:creationId xmlns:a16="http://schemas.microsoft.com/office/drawing/2014/main" id="{00000000-0008-0000-1200-000003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27</xdr:row>
          <xdr:rowOff>180975</xdr:rowOff>
        </xdr:from>
        <xdr:to>
          <xdr:col>1</xdr:col>
          <xdr:colOff>847725</xdr:colOff>
          <xdr:row>27</xdr:row>
          <xdr:rowOff>495300</xdr:rowOff>
        </xdr:to>
        <xdr:sp macro="" textlink="">
          <xdr:nvSpPr>
            <xdr:cNvPr id="146443" name="Check Box 11" descr="Confirmed" hidden="1">
              <a:extLst>
                <a:ext uri="{63B3BB69-23CF-44E3-9099-C40C66FF867C}">
                  <a14:compatExt spid="_x0000_s146443"/>
                </a:ext>
                <a:ext uri="{FF2B5EF4-FFF2-40B4-BE49-F238E27FC236}">
                  <a16:creationId xmlns:a16="http://schemas.microsoft.com/office/drawing/2014/main" id="{00000000-0008-0000-1200-00000B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Confirmed</a:t>
              </a:r>
            </a:p>
          </xdr:txBody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28575</xdr:colOff>
          <xdr:row>14</xdr:row>
          <xdr:rowOff>0</xdr:rowOff>
        </xdr:from>
        <xdr:to>
          <xdr:col>4</xdr:col>
          <xdr:colOff>952500</xdr:colOff>
          <xdr:row>15</xdr:row>
          <xdr:rowOff>180975</xdr:rowOff>
        </xdr:to>
        <xdr:sp macro="" textlink="">
          <xdr:nvSpPr>
            <xdr:cNvPr id="230401" name="Spinner 1" hidden="1">
              <a:extLst>
                <a:ext uri="{63B3BB69-23CF-44E3-9099-C40C66FF867C}">
                  <a14:compatExt spid="_x0000_s230401"/>
                </a:ext>
                <a:ext uri="{FF2B5EF4-FFF2-40B4-BE49-F238E27FC236}">
                  <a16:creationId xmlns:a16="http://schemas.microsoft.com/office/drawing/2014/main" id="{00000000-0008-0000-1300-0000018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266700</xdr:rowOff>
        </xdr:from>
        <xdr:to>
          <xdr:col>4</xdr:col>
          <xdr:colOff>19050</xdr:colOff>
          <xdr:row>16</xdr:row>
          <xdr:rowOff>0</xdr:rowOff>
        </xdr:to>
        <xdr:sp macro="" textlink="">
          <xdr:nvSpPr>
            <xdr:cNvPr id="230402" name="CommandButton1" hidden="1">
              <a:extLst>
                <a:ext uri="{63B3BB69-23CF-44E3-9099-C40C66FF867C}">
                  <a14:compatExt spid="_x0000_s230402"/>
                </a:ext>
                <a:ext uri="{FF2B5EF4-FFF2-40B4-BE49-F238E27FC236}">
                  <a16:creationId xmlns:a16="http://schemas.microsoft.com/office/drawing/2014/main" id="{00000000-0008-0000-1300-0000028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723900</xdr:colOff>
      <xdr:row>0</xdr:row>
      <xdr:rowOff>0</xdr:rowOff>
    </xdr:from>
    <xdr:to>
      <xdr:col>9</xdr:col>
      <xdr:colOff>205740</xdr:colOff>
      <xdr:row>8</xdr:row>
      <xdr:rowOff>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29450" y="0"/>
          <a:ext cx="2196465" cy="1590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266700</xdr:colOff>
          <xdr:row>0</xdr:row>
          <xdr:rowOff>219075</xdr:rowOff>
        </xdr:to>
        <xdr:sp macro="" textlink="">
          <xdr:nvSpPr>
            <xdr:cNvPr id="230403" name="Button 3" hidden="1">
              <a:extLst>
                <a:ext uri="{63B3BB69-23CF-44E3-9099-C40C66FF867C}">
                  <a14:compatExt spid="_x0000_s230403"/>
                </a:ext>
                <a:ext uri="{FF2B5EF4-FFF2-40B4-BE49-F238E27FC236}">
                  <a16:creationId xmlns:a16="http://schemas.microsoft.com/office/drawing/2014/main" id="{00000000-0008-0000-1300-0000038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27</xdr:row>
          <xdr:rowOff>180975</xdr:rowOff>
        </xdr:from>
        <xdr:to>
          <xdr:col>1</xdr:col>
          <xdr:colOff>847725</xdr:colOff>
          <xdr:row>27</xdr:row>
          <xdr:rowOff>495300</xdr:rowOff>
        </xdr:to>
        <xdr:sp macro="" textlink="">
          <xdr:nvSpPr>
            <xdr:cNvPr id="230412" name="Check Box 12" descr="Confirmed" hidden="1">
              <a:extLst>
                <a:ext uri="{63B3BB69-23CF-44E3-9099-C40C66FF867C}">
                  <a14:compatExt spid="_x0000_s230412"/>
                </a:ext>
                <a:ext uri="{FF2B5EF4-FFF2-40B4-BE49-F238E27FC236}">
                  <a16:creationId xmlns:a16="http://schemas.microsoft.com/office/drawing/2014/main" id="{00000000-0008-0000-1300-00000C8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Confirmed</a:t>
              </a:r>
            </a:p>
          </xdr:txBody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</xdr:row>
          <xdr:rowOff>9525</xdr:rowOff>
        </xdr:from>
        <xdr:to>
          <xdr:col>5</xdr:col>
          <xdr:colOff>9525</xdr:colOff>
          <xdr:row>15</xdr:row>
          <xdr:rowOff>171450</xdr:rowOff>
        </xdr:to>
        <xdr:sp macro="" textlink="">
          <xdr:nvSpPr>
            <xdr:cNvPr id="17409" name="Spinner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1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13</xdr:row>
          <xdr:rowOff>209550</xdr:rowOff>
        </xdr:from>
        <xdr:to>
          <xdr:col>3</xdr:col>
          <xdr:colOff>971550</xdr:colOff>
          <xdr:row>15</xdr:row>
          <xdr:rowOff>180975</xdr:rowOff>
        </xdr:to>
        <xdr:sp macro="" textlink="">
          <xdr:nvSpPr>
            <xdr:cNvPr id="17412" name="CommandButton1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14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350520</xdr:colOff>
      <xdr:row>0</xdr:row>
      <xdr:rowOff>0</xdr:rowOff>
    </xdr:from>
    <xdr:to>
      <xdr:col>9</xdr:col>
      <xdr:colOff>693420</xdr:colOff>
      <xdr:row>8</xdr:row>
      <xdr:rowOff>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37145" y="0"/>
          <a:ext cx="2228850" cy="1476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257175</xdr:colOff>
          <xdr:row>1</xdr:row>
          <xdr:rowOff>0</xdr:rowOff>
        </xdr:to>
        <xdr:sp macro="" textlink="">
          <xdr:nvSpPr>
            <xdr:cNvPr id="17419" name="Button 11" hidden="1">
              <a:extLst>
                <a:ext uri="{63B3BB69-23CF-44E3-9099-C40C66FF867C}">
                  <a14:compatExt spid="_x0000_s17419"/>
                </a:ext>
                <a:ext uri="{FF2B5EF4-FFF2-40B4-BE49-F238E27FC236}">
                  <a16:creationId xmlns:a16="http://schemas.microsoft.com/office/drawing/2014/main" id="{00000000-0008-0000-1400-00000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27</xdr:row>
          <xdr:rowOff>161925</xdr:rowOff>
        </xdr:from>
        <xdr:to>
          <xdr:col>1</xdr:col>
          <xdr:colOff>847725</xdr:colOff>
          <xdr:row>27</xdr:row>
          <xdr:rowOff>476250</xdr:rowOff>
        </xdr:to>
        <xdr:sp macro="" textlink="">
          <xdr:nvSpPr>
            <xdr:cNvPr id="17421" name="Check Box 13" descr="Confirmed" hidden="1">
              <a:extLst>
                <a:ext uri="{63B3BB69-23CF-44E3-9099-C40C66FF867C}">
                  <a14:compatExt spid="_x0000_s17421"/>
                </a:ext>
                <a:ext uri="{FF2B5EF4-FFF2-40B4-BE49-F238E27FC236}">
                  <a16:creationId xmlns:a16="http://schemas.microsoft.com/office/drawing/2014/main" id="{00000000-0008-0000-1400-00000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Confirmed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19</xdr:row>
          <xdr:rowOff>228600</xdr:rowOff>
        </xdr:from>
        <xdr:to>
          <xdr:col>12</xdr:col>
          <xdr:colOff>561975</xdr:colOff>
          <xdr:row>20</xdr:row>
          <xdr:rowOff>85725</xdr:rowOff>
        </xdr:to>
        <xdr:sp macro="" textlink="">
          <xdr:nvSpPr>
            <xdr:cNvPr id="17428" name="Button 20" hidden="1">
              <a:extLst>
                <a:ext uri="{63B3BB69-23CF-44E3-9099-C40C66FF867C}">
                  <a14:compatExt spid="_x0000_s17428"/>
                </a:ext>
                <a:ext uri="{FF2B5EF4-FFF2-40B4-BE49-F238E27FC236}">
                  <a16:creationId xmlns:a16="http://schemas.microsoft.com/office/drawing/2014/main" id="{00000000-0008-0000-1400-00001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18</xdr:row>
          <xdr:rowOff>161925</xdr:rowOff>
        </xdr:from>
        <xdr:to>
          <xdr:col>12</xdr:col>
          <xdr:colOff>552450</xdr:colOff>
          <xdr:row>19</xdr:row>
          <xdr:rowOff>19050</xdr:rowOff>
        </xdr:to>
        <xdr:sp macro="" textlink="">
          <xdr:nvSpPr>
            <xdr:cNvPr id="17429" name="Button 21" hidden="1">
              <a:extLst>
                <a:ext uri="{63B3BB69-23CF-44E3-9099-C40C66FF867C}">
                  <a14:compatExt spid="_x0000_s17429"/>
                </a:ext>
                <a:ext uri="{FF2B5EF4-FFF2-40B4-BE49-F238E27FC236}">
                  <a16:creationId xmlns:a16="http://schemas.microsoft.com/office/drawing/2014/main" id="{00000000-0008-0000-1400-00001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TD,DB,HD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76200</xdr:colOff>
          <xdr:row>19</xdr:row>
          <xdr:rowOff>38100</xdr:rowOff>
        </xdr:from>
        <xdr:to>
          <xdr:col>12</xdr:col>
          <xdr:colOff>561975</xdr:colOff>
          <xdr:row>19</xdr:row>
          <xdr:rowOff>219075</xdr:rowOff>
        </xdr:to>
        <xdr:sp macro="" textlink="">
          <xdr:nvSpPr>
            <xdr:cNvPr id="17430" name="Button 22" hidden="1">
              <a:extLst>
                <a:ext uri="{63B3BB69-23CF-44E3-9099-C40C66FF867C}">
                  <a14:compatExt spid="_x0000_s17430"/>
                </a:ext>
                <a:ext uri="{FF2B5EF4-FFF2-40B4-BE49-F238E27FC236}">
                  <a16:creationId xmlns:a16="http://schemas.microsoft.com/office/drawing/2014/main" id="{00000000-0008-0000-1400-00001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Str. Utility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76200</xdr:colOff>
          <xdr:row>17</xdr:row>
          <xdr:rowOff>238125</xdr:rowOff>
        </xdr:from>
        <xdr:to>
          <xdr:col>12</xdr:col>
          <xdr:colOff>561975</xdr:colOff>
          <xdr:row>18</xdr:row>
          <xdr:rowOff>152400</xdr:rowOff>
        </xdr:to>
        <xdr:sp macro="" textlink="">
          <xdr:nvSpPr>
            <xdr:cNvPr id="17431" name="Button 23" hidden="1">
              <a:extLst>
                <a:ext uri="{63B3BB69-23CF-44E3-9099-C40C66FF867C}">
                  <a14:compatExt spid="_x0000_s17431"/>
                </a:ext>
                <a:ext uri="{FF2B5EF4-FFF2-40B4-BE49-F238E27FC236}">
                  <a16:creationId xmlns:a16="http://schemas.microsoft.com/office/drawing/2014/main" id="{00000000-0008-0000-1400-00001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Equipment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76200</xdr:colOff>
          <xdr:row>16</xdr:row>
          <xdr:rowOff>47625</xdr:rowOff>
        </xdr:from>
        <xdr:to>
          <xdr:col>12</xdr:col>
          <xdr:colOff>561975</xdr:colOff>
          <xdr:row>17</xdr:row>
          <xdr:rowOff>28575</xdr:rowOff>
        </xdr:to>
        <xdr:sp macro="" textlink="">
          <xdr:nvSpPr>
            <xdr:cNvPr id="17432" name="Button 24" hidden="1">
              <a:extLst>
                <a:ext uri="{63B3BB69-23CF-44E3-9099-C40C66FF867C}">
                  <a14:compatExt spid="_x0000_s17432"/>
                </a:ext>
                <a:ext uri="{FF2B5EF4-FFF2-40B4-BE49-F238E27FC236}">
                  <a16:creationId xmlns:a16="http://schemas.microsoft.com/office/drawing/2014/main" id="{00000000-0008-0000-1400-00001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RFQ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76200</xdr:colOff>
          <xdr:row>17</xdr:row>
          <xdr:rowOff>38100</xdr:rowOff>
        </xdr:from>
        <xdr:to>
          <xdr:col>12</xdr:col>
          <xdr:colOff>561975</xdr:colOff>
          <xdr:row>17</xdr:row>
          <xdr:rowOff>228600</xdr:rowOff>
        </xdr:to>
        <xdr:sp macro="" textlink="">
          <xdr:nvSpPr>
            <xdr:cNvPr id="17433" name="Button 25" hidden="1">
              <a:extLst>
                <a:ext uri="{63B3BB69-23CF-44E3-9099-C40C66FF867C}">
                  <a14:compatExt spid="_x0000_s17433"/>
                </a:ext>
                <a:ext uri="{FF2B5EF4-FFF2-40B4-BE49-F238E27FC236}">
                  <a16:creationId xmlns:a16="http://schemas.microsoft.com/office/drawing/2014/main" id="{00000000-0008-0000-1400-00001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Material Specs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</xdr:row>
          <xdr:rowOff>219075</xdr:rowOff>
        </xdr:from>
        <xdr:to>
          <xdr:col>4</xdr:col>
          <xdr:colOff>971550</xdr:colOff>
          <xdr:row>15</xdr:row>
          <xdr:rowOff>171450</xdr:rowOff>
        </xdr:to>
        <xdr:sp macro="" textlink="">
          <xdr:nvSpPr>
            <xdr:cNvPr id="18433" name="Spinner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15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14</xdr:row>
          <xdr:rowOff>9525</xdr:rowOff>
        </xdr:from>
        <xdr:to>
          <xdr:col>3</xdr:col>
          <xdr:colOff>1000125</xdr:colOff>
          <xdr:row>15</xdr:row>
          <xdr:rowOff>180975</xdr:rowOff>
        </xdr:to>
        <xdr:sp macro="" textlink="">
          <xdr:nvSpPr>
            <xdr:cNvPr id="18436" name="CommandButton1" hidden="1">
              <a:extLst>
                <a:ext uri="{63B3BB69-23CF-44E3-9099-C40C66FF867C}">
                  <a14:compatExt spid="_x0000_s18436"/>
                </a:ext>
                <a:ext uri="{FF2B5EF4-FFF2-40B4-BE49-F238E27FC236}">
                  <a16:creationId xmlns:a16="http://schemas.microsoft.com/office/drawing/2014/main" id="{00000000-0008-0000-1500-00000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350520</xdr:colOff>
      <xdr:row>0</xdr:row>
      <xdr:rowOff>0</xdr:rowOff>
    </xdr:from>
    <xdr:to>
      <xdr:col>9</xdr:col>
      <xdr:colOff>693420</xdr:colOff>
      <xdr:row>8</xdr:row>
      <xdr:rowOff>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15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37145" y="0"/>
          <a:ext cx="2228850" cy="1590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142875</xdr:colOff>
          <xdr:row>0</xdr:row>
          <xdr:rowOff>228600</xdr:rowOff>
        </xdr:to>
        <xdr:sp macro="" textlink="">
          <xdr:nvSpPr>
            <xdr:cNvPr id="18443" name="Button 11" hidden="1">
              <a:extLst>
                <a:ext uri="{63B3BB69-23CF-44E3-9099-C40C66FF867C}">
                  <a14:compatExt spid="_x0000_s18443"/>
                </a:ext>
                <a:ext uri="{FF2B5EF4-FFF2-40B4-BE49-F238E27FC236}">
                  <a16:creationId xmlns:a16="http://schemas.microsoft.com/office/drawing/2014/main" id="{00000000-0008-0000-1500-00000B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27</xdr:row>
          <xdr:rowOff>152400</xdr:rowOff>
        </xdr:from>
        <xdr:to>
          <xdr:col>1</xdr:col>
          <xdr:colOff>847725</xdr:colOff>
          <xdr:row>27</xdr:row>
          <xdr:rowOff>466725</xdr:rowOff>
        </xdr:to>
        <xdr:sp macro="" textlink="">
          <xdr:nvSpPr>
            <xdr:cNvPr id="18445" name="Check Box 13" descr="Confirmed" hidden="1">
              <a:extLst>
                <a:ext uri="{63B3BB69-23CF-44E3-9099-C40C66FF867C}">
                  <a14:compatExt spid="_x0000_s18445"/>
                </a:ext>
                <a:ext uri="{FF2B5EF4-FFF2-40B4-BE49-F238E27FC236}">
                  <a16:creationId xmlns:a16="http://schemas.microsoft.com/office/drawing/2014/main" id="{00000000-0008-0000-1500-00000D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Confirmed</a:t>
              </a:r>
            </a:p>
          </xdr:txBody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</xdr:row>
          <xdr:rowOff>219075</xdr:rowOff>
        </xdr:from>
        <xdr:to>
          <xdr:col>4</xdr:col>
          <xdr:colOff>971550</xdr:colOff>
          <xdr:row>15</xdr:row>
          <xdr:rowOff>171450</xdr:rowOff>
        </xdr:to>
        <xdr:sp macro="" textlink="">
          <xdr:nvSpPr>
            <xdr:cNvPr id="147457" name="Spinner 1" hidden="1">
              <a:extLst>
                <a:ext uri="{63B3BB69-23CF-44E3-9099-C40C66FF867C}">
                  <a14:compatExt spid="_x0000_s147457"/>
                </a:ext>
                <a:ext uri="{FF2B5EF4-FFF2-40B4-BE49-F238E27FC236}">
                  <a16:creationId xmlns:a16="http://schemas.microsoft.com/office/drawing/2014/main" id="{00000000-0008-0000-1600-0000014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14</xdr:row>
          <xdr:rowOff>9525</xdr:rowOff>
        </xdr:from>
        <xdr:to>
          <xdr:col>3</xdr:col>
          <xdr:colOff>1000125</xdr:colOff>
          <xdr:row>15</xdr:row>
          <xdr:rowOff>180975</xdr:rowOff>
        </xdr:to>
        <xdr:sp macro="" textlink="">
          <xdr:nvSpPr>
            <xdr:cNvPr id="147458" name="CommandButton1" hidden="1">
              <a:extLst>
                <a:ext uri="{63B3BB69-23CF-44E3-9099-C40C66FF867C}">
                  <a14:compatExt spid="_x0000_s147458"/>
                </a:ext>
                <a:ext uri="{FF2B5EF4-FFF2-40B4-BE49-F238E27FC236}">
                  <a16:creationId xmlns:a16="http://schemas.microsoft.com/office/drawing/2014/main" id="{00000000-0008-0000-1600-0000024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350520</xdr:colOff>
      <xdr:row>0</xdr:row>
      <xdr:rowOff>0</xdr:rowOff>
    </xdr:from>
    <xdr:to>
      <xdr:col>9</xdr:col>
      <xdr:colOff>693420</xdr:colOff>
      <xdr:row>8</xdr:row>
      <xdr:rowOff>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37145" y="0"/>
          <a:ext cx="2228850" cy="1590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142875</xdr:colOff>
          <xdr:row>0</xdr:row>
          <xdr:rowOff>228600</xdr:rowOff>
        </xdr:to>
        <xdr:sp macro="" textlink="">
          <xdr:nvSpPr>
            <xdr:cNvPr id="147459" name="Button 3" hidden="1">
              <a:extLst>
                <a:ext uri="{63B3BB69-23CF-44E3-9099-C40C66FF867C}">
                  <a14:compatExt spid="_x0000_s147459"/>
                </a:ext>
                <a:ext uri="{FF2B5EF4-FFF2-40B4-BE49-F238E27FC236}">
                  <a16:creationId xmlns:a16="http://schemas.microsoft.com/office/drawing/2014/main" id="{00000000-0008-0000-1600-0000034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27</xdr:row>
          <xdr:rowOff>142875</xdr:rowOff>
        </xdr:from>
        <xdr:to>
          <xdr:col>1</xdr:col>
          <xdr:colOff>847725</xdr:colOff>
          <xdr:row>27</xdr:row>
          <xdr:rowOff>457200</xdr:rowOff>
        </xdr:to>
        <xdr:sp macro="" textlink="">
          <xdr:nvSpPr>
            <xdr:cNvPr id="147467" name="Check Box 11" descr="Confirmed" hidden="1">
              <a:extLst>
                <a:ext uri="{63B3BB69-23CF-44E3-9099-C40C66FF867C}">
                  <a14:compatExt spid="_x0000_s147467"/>
                </a:ext>
                <a:ext uri="{FF2B5EF4-FFF2-40B4-BE49-F238E27FC236}">
                  <a16:creationId xmlns:a16="http://schemas.microsoft.com/office/drawing/2014/main" id="{00000000-0008-0000-1600-00000B4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Confirmed</a:t>
              </a:r>
            </a:p>
          </xdr:txBody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</xdr:row>
          <xdr:rowOff>219075</xdr:rowOff>
        </xdr:from>
        <xdr:to>
          <xdr:col>4</xdr:col>
          <xdr:colOff>971550</xdr:colOff>
          <xdr:row>15</xdr:row>
          <xdr:rowOff>171450</xdr:rowOff>
        </xdr:to>
        <xdr:sp macro="" textlink="">
          <xdr:nvSpPr>
            <xdr:cNvPr id="231425" name="Spinner 1" hidden="1">
              <a:extLst>
                <a:ext uri="{63B3BB69-23CF-44E3-9099-C40C66FF867C}">
                  <a14:compatExt spid="_x0000_s231425"/>
                </a:ext>
                <a:ext uri="{FF2B5EF4-FFF2-40B4-BE49-F238E27FC236}">
                  <a16:creationId xmlns:a16="http://schemas.microsoft.com/office/drawing/2014/main" id="{00000000-0008-0000-1700-0000018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14</xdr:row>
          <xdr:rowOff>9525</xdr:rowOff>
        </xdr:from>
        <xdr:to>
          <xdr:col>3</xdr:col>
          <xdr:colOff>1000125</xdr:colOff>
          <xdr:row>15</xdr:row>
          <xdr:rowOff>180975</xdr:rowOff>
        </xdr:to>
        <xdr:sp macro="" textlink="">
          <xdr:nvSpPr>
            <xdr:cNvPr id="231426" name="CommandButton1" hidden="1">
              <a:extLst>
                <a:ext uri="{63B3BB69-23CF-44E3-9099-C40C66FF867C}">
                  <a14:compatExt spid="_x0000_s231426"/>
                </a:ext>
                <a:ext uri="{FF2B5EF4-FFF2-40B4-BE49-F238E27FC236}">
                  <a16:creationId xmlns:a16="http://schemas.microsoft.com/office/drawing/2014/main" id="{00000000-0008-0000-1700-0000028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350520</xdr:colOff>
      <xdr:row>0</xdr:row>
      <xdr:rowOff>0</xdr:rowOff>
    </xdr:from>
    <xdr:to>
      <xdr:col>9</xdr:col>
      <xdr:colOff>693420</xdr:colOff>
      <xdr:row>8</xdr:row>
      <xdr:rowOff>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37145" y="0"/>
          <a:ext cx="2228850" cy="1590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142875</xdr:colOff>
          <xdr:row>0</xdr:row>
          <xdr:rowOff>228600</xdr:rowOff>
        </xdr:to>
        <xdr:sp macro="" textlink="">
          <xdr:nvSpPr>
            <xdr:cNvPr id="231427" name="Button 3" hidden="1">
              <a:extLst>
                <a:ext uri="{63B3BB69-23CF-44E3-9099-C40C66FF867C}">
                  <a14:compatExt spid="_x0000_s231427"/>
                </a:ext>
                <a:ext uri="{FF2B5EF4-FFF2-40B4-BE49-F238E27FC236}">
                  <a16:creationId xmlns:a16="http://schemas.microsoft.com/office/drawing/2014/main" id="{00000000-0008-0000-1700-0000038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27</xdr:row>
          <xdr:rowOff>152400</xdr:rowOff>
        </xdr:from>
        <xdr:to>
          <xdr:col>1</xdr:col>
          <xdr:colOff>847725</xdr:colOff>
          <xdr:row>27</xdr:row>
          <xdr:rowOff>466725</xdr:rowOff>
        </xdr:to>
        <xdr:sp macro="" textlink="">
          <xdr:nvSpPr>
            <xdr:cNvPr id="231435" name="Check Box 11" descr="Confirmed" hidden="1">
              <a:extLst>
                <a:ext uri="{63B3BB69-23CF-44E3-9099-C40C66FF867C}">
                  <a14:compatExt spid="_x0000_s231435"/>
                </a:ext>
                <a:ext uri="{FF2B5EF4-FFF2-40B4-BE49-F238E27FC236}">
                  <a16:creationId xmlns:a16="http://schemas.microsoft.com/office/drawing/2014/main" id="{00000000-0008-0000-1700-00000B8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Confirmed</a:t>
              </a:r>
            </a:p>
          </xdr:txBody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</xdr:row>
          <xdr:rowOff>0</xdr:rowOff>
        </xdr:from>
        <xdr:to>
          <xdr:col>5</xdr:col>
          <xdr:colOff>0</xdr:colOff>
          <xdr:row>15</xdr:row>
          <xdr:rowOff>171450</xdr:rowOff>
        </xdr:to>
        <xdr:sp macro="" textlink="">
          <xdr:nvSpPr>
            <xdr:cNvPr id="21505" name="Spinner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1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180975</xdr:rowOff>
        </xdr:to>
        <xdr:sp macro="" textlink="">
          <xdr:nvSpPr>
            <xdr:cNvPr id="21508" name="CommandButton1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1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8</xdr:col>
      <xdr:colOff>0</xdr:colOff>
      <xdr:row>0</xdr:row>
      <xdr:rowOff>45720</xdr:rowOff>
    </xdr:from>
    <xdr:to>
      <xdr:col>10</xdr:col>
      <xdr:colOff>449580</xdr:colOff>
      <xdr:row>9</xdr:row>
      <xdr:rowOff>22860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18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29600" y="45720"/>
          <a:ext cx="2221230" cy="1520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314325</xdr:colOff>
          <xdr:row>1</xdr:row>
          <xdr:rowOff>0</xdr:rowOff>
        </xdr:to>
        <xdr:sp macro="" textlink="">
          <xdr:nvSpPr>
            <xdr:cNvPr id="21515" name="Button 11" hidden="1">
              <a:extLst>
                <a:ext uri="{63B3BB69-23CF-44E3-9099-C40C66FF867C}">
                  <a14:compatExt spid="_x0000_s21515"/>
                </a:ext>
                <a:ext uri="{FF2B5EF4-FFF2-40B4-BE49-F238E27FC236}">
                  <a16:creationId xmlns:a16="http://schemas.microsoft.com/office/drawing/2014/main" id="{00000000-0008-0000-1800-00000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27</xdr:row>
          <xdr:rowOff>142875</xdr:rowOff>
        </xdr:from>
        <xdr:to>
          <xdr:col>1</xdr:col>
          <xdr:colOff>847725</xdr:colOff>
          <xdr:row>27</xdr:row>
          <xdr:rowOff>457200</xdr:rowOff>
        </xdr:to>
        <xdr:sp macro="" textlink="">
          <xdr:nvSpPr>
            <xdr:cNvPr id="21516" name="Check Box 12" descr="Confirmed" hidden="1">
              <a:extLst>
                <a:ext uri="{63B3BB69-23CF-44E3-9099-C40C66FF867C}">
                  <a14:compatExt spid="_x0000_s21516"/>
                </a:ext>
                <a:ext uri="{FF2B5EF4-FFF2-40B4-BE49-F238E27FC236}">
                  <a16:creationId xmlns:a16="http://schemas.microsoft.com/office/drawing/2014/main" id="{00000000-0008-0000-1800-00000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Confirmed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19</xdr:row>
          <xdr:rowOff>266700</xdr:rowOff>
        </xdr:from>
        <xdr:to>
          <xdr:col>15</xdr:col>
          <xdr:colOff>66675</xdr:colOff>
          <xdr:row>20</xdr:row>
          <xdr:rowOff>123825</xdr:rowOff>
        </xdr:to>
        <xdr:sp macro="" textlink="">
          <xdr:nvSpPr>
            <xdr:cNvPr id="21517" name="Button 13" hidden="1">
              <a:extLst>
                <a:ext uri="{63B3BB69-23CF-44E3-9099-C40C66FF867C}">
                  <a14:compatExt spid="_x0000_s21517"/>
                </a:ext>
                <a:ext uri="{FF2B5EF4-FFF2-40B4-BE49-F238E27FC236}">
                  <a16:creationId xmlns:a16="http://schemas.microsoft.com/office/drawing/2014/main" id="{00000000-0008-0000-1800-00000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18</xdr:row>
          <xdr:rowOff>200025</xdr:rowOff>
        </xdr:from>
        <xdr:to>
          <xdr:col>15</xdr:col>
          <xdr:colOff>57150</xdr:colOff>
          <xdr:row>19</xdr:row>
          <xdr:rowOff>57150</xdr:rowOff>
        </xdr:to>
        <xdr:sp macro="" textlink="">
          <xdr:nvSpPr>
            <xdr:cNvPr id="21518" name="Button 14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1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TD,DB,HD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190500</xdr:colOff>
          <xdr:row>19</xdr:row>
          <xdr:rowOff>76200</xdr:rowOff>
        </xdr:from>
        <xdr:to>
          <xdr:col>15</xdr:col>
          <xdr:colOff>66675</xdr:colOff>
          <xdr:row>19</xdr:row>
          <xdr:rowOff>257175</xdr:rowOff>
        </xdr:to>
        <xdr:sp macro="" textlink="">
          <xdr:nvSpPr>
            <xdr:cNvPr id="21519" name="Button 15" hidden="1">
              <a:extLst>
                <a:ext uri="{63B3BB69-23CF-44E3-9099-C40C66FF867C}">
                  <a14:compatExt spid="_x0000_s21519"/>
                </a:ext>
                <a:ext uri="{FF2B5EF4-FFF2-40B4-BE49-F238E27FC236}">
                  <a16:creationId xmlns:a16="http://schemas.microsoft.com/office/drawing/2014/main" id="{00000000-0008-0000-1800-00000F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Str. Utility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190500</xdr:colOff>
          <xdr:row>18</xdr:row>
          <xdr:rowOff>0</xdr:rowOff>
        </xdr:from>
        <xdr:to>
          <xdr:col>15</xdr:col>
          <xdr:colOff>66675</xdr:colOff>
          <xdr:row>18</xdr:row>
          <xdr:rowOff>190500</xdr:rowOff>
        </xdr:to>
        <xdr:sp macro="" textlink="">
          <xdr:nvSpPr>
            <xdr:cNvPr id="21520" name="Button 16" hidden="1">
              <a:extLst>
                <a:ext uri="{63B3BB69-23CF-44E3-9099-C40C66FF867C}">
                  <a14:compatExt spid="_x0000_s21520"/>
                </a:ext>
                <a:ext uri="{FF2B5EF4-FFF2-40B4-BE49-F238E27FC236}">
                  <a16:creationId xmlns:a16="http://schemas.microsoft.com/office/drawing/2014/main" id="{00000000-0008-0000-1800-000010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Equipment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190500</xdr:colOff>
          <xdr:row>16</xdr:row>
          <xdr:rowOff>85725</xdr:rowOff>
        </xdr:from>
        <xdr:to>
          <xdr:col>15</xdr:col>
          <xdr:colOff>66675</xdr:colOff>
          <xdr:row>17</xdr:row>
          <xdr:rowOff>66675</xdr:rowOff>
        </xdr:to>
        <xdr:sp macro="" textlink="">
          <xdr:nvSpPr>
            <xdr:cNvPr id="21521" name="Button 17" hidden="1">
              <a:extLst>
                <a:ext uri="{63B3BB69-23CF-44E3-9099-C40C66FF867C}">
                  <a14:compatExt spid="_x0000_s21521"/>
                </a:ext>
                <a:ext uri="{FF2B5EF4-FFF2-40B4-BE49-F238E27FC236}">
                  <a16:creationId xmlns:a16="http://schemas.microsoft.com/office/drawing/2014/main" id="{00000000-0008-0000-1800-00001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RFQ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190500</xdr:colOff>
          <xdr:row>17</xdr:row>
          <xdr:rowOff>76200</xdr:rowOff>
        </xdr:from>
        <xdr:to>
          <xdr:col>15</xdr:col>
          <xdr:colOff>66675</xdr:colOff>
          <xdr:row>17</xdr:row>
          <xdr:rowOff>266700</xdr:rowOff>
        </xdr:to>
        <xdr:sp macro="" textlink="">
          <xdr:nvSpPr>
            <xdr:cNvPr id="21522" name="Button 18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id="{00000000-0008-0000-1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Material Specs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</xdr:row>
          <xdr:rowOff>19050</xdr:rowOff>
        </xdr:from>
        <xdr:to>
          <xdr:col>5</xdr:col>
          <xdr:colOff>0</xdr:colOff>
          <xdr:row>15</xdr:row>
          <xdr:rowOff>152400</xdr:rowOff>
        </xdr:to>
        <xdr:sp macro="" textlink="">
          <xdr:nvSpPr>
            <xdr:cNvPr id="22529" name="Spinner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19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19050</xdr:rowOff>
        </xdr:from>
        <xdr:to>
          <xdr:col>4</xdr:col>
          <xdr:colOff>0</xdr:colOff>
          <xdr:row>15</xdr:row>
          <xdr:rowOff>180975</xdr:rowOff>
        </xdr:to>
        <xdr:sp macro="" textlink="">
          <xdr:nvSpPr>
            <xdr:cNvPr id="22532" name="CommandButton1" hidden="1">
              <a:extLst>
                <a:ext uri="{63B3BB69-23CF-44E3-9099-C40C66FF867C}">
                  <a14:compatExt spid="_x0000_s22532"/>
                </a:ext>
                <a:ext uri="{FF2B5EF4-FFF2-40B4-BE49-F238E27FC236}">
                  <a16:creationId xmlns:a16="http://schemas.microsoft.com/office/drawing/2014/main" id="{00000000-0008-0000-1900-00000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8</xdr:col>
      <xdr:colOff>0</xdr:colOff>
      <xdr:row>0</xdr:row>
      <xdr:rowOff>45720</xdr:rowOff>
    </xdr:from>
    <xdr:to>
      <xdr:col>10</xdr:col>
      <xdr:colOff>449580</xdr:colOff>
      <xdr:row>9</xdr:row>
      <xdr:rowOff>22860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19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29600" y="45720"/>
          <a:ext cx="2221230" cy="17202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190500</xdr:colOff>
          <xdr:row>1</xdr:row>
          <xdr:rowOff>38100</xdr:rowOff>
        </xdr:to>
        <xdr:sp macro="" textlink="">
          <xdr:nvSpPr>
            <xdr:cNvPr id="22539" name="Button 11" hidden="1">
              <a:extLst>
                <a:ext uri="{63B3BB69-23CF-44E3-9099-C40C66FF867C}">
                  <a14:compatExt spid="_x0000_s22539"/>
                </a:ext>
                <a:ext uri="{FF2B5EF4-FFF2-40B4-BE49-F238E27FC236}">
                  <a16:creationId xmlns:a16="http://schemas.microsoft.com/office/drawing/2014/main" id="{00000000-0008-0000-1900-00000B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27</xdr:row>
          <xdr:rowOff>133350</xdr:rowOff>
        </xdr:from>
        <xdr:to>
          <xdr:col>1</xdr:col>
          <xdr:colOff>857250</xdr:colOff>
          <xdr:row>27</xdr:row>
          <xdr:rowOff>447675</xdr:rowOff>
        </xdr:to>
        <xdr:sp macro="" textlink="">
          <xdr:nvSpPr>
            <xdr:cNvPr id="22541" name="Check Box 13" descr="Confirmed" hidden="1">
              <a:extLst>
                <a:ext uri="{63B3BB69-23CF-44E3-9099-C40C66FF867C}">
                  <a14:compatExt spid="_x0000_s22541"/>
                </a:ext>
                <a:ext uri="{FF2B5EF4-FFF2-40B4-BE49-F238E27FC236}">
                  <a16:creationId xmlns:a16="http://schemas.microsoft.com/office/drawing/2014/main" id="{00000000-0008-0000-1900-00000D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Confirmed</a:t>
              </a:r>
            </a:p>
          </xdr:txBody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</xdr:row>
          <xdr:rowOff>19050</xdr:rowOff>
        </xdr:from>
        <xdr:to>
          <xdr:col>5</xdr:col>
          <xdr:colOff>0</xdr:colOff>
          <xdr:row>15</xdr:row>
          <xdr:rowOff>152400</xdr:rowOff>
        </xdr:to>
        <xdr:sp macro="" textlink="">
          <xdr:nvSpPr>
            <xdr:cNvPr id="148481" name="Spinner 1" hidden="1">
              <a:extLst>
                <a:ext uri="{63B3BB69-23CF-44E3-9099-C40C66FF867C}">
                  <a14:compatExt spid="_x0000_s148481"/>
                </a:ext>
                <a:ext uri="{FF2B5EF4-FFF2-40B4-BE49-F238E27FC236}">
                  <a16:creationId xmlns:a16="http://schemas.microsoft.com/office/drawing/2014/main" id="{00000000-0008-0000-1A00-000001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19050</xdr:rowOff>
        </xdr:from>
        <xdr:to>
          <xdr:col>4</xdr:col>
          <xdr:colOff>0</xdr:colOff>
          <xdr:row>15</xdr:row>
          <xdr:rowOff>180975</xdr:rowOff>
        </xdr:to>
        <xdr:sp macro="" textlink="">
          <xdr:nvSpPr>
            <xdr:cNvPr id="148482" name="CommandButton1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1A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8</xdr:col>
      <xdr:colOff>0</xdr:colOff>
      <xdr:row>0</xdr:row>
      <xdr:rowOff>45720</xdr:rowOff>
    </xdr:from>
    <xdr:to>
      <xdr:col>10</xdr:col>
      <xdr:colOff>449580</xdr:colOff>
      <xdr:row>9</xdr:row>
      <xdr:rowOff>22860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29600" y="45720"/>
          <a:ext cx="2221230" cy="17202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190500</xdr:colOff>
          <xdr:row>1</xdr:row>
          <xdr:rowOff>38100</xdr:rowOff>
        </xdr:to>
        <xdr:sp macro="" textlink="">
          <xdr:nvSpPr>
            <xdr:cNvPr id="148483" name="Button 3" hidden="1">
              <a:extLst>
                <a:ext uri="{63B3BB69-23CF-44E3-9099-C40C66FF867C}">
                  <a14:compatExt spid="_x0000_s148483"/>
                </a:ext>
                <a:ext uri="{FF2B5EF4-FFF2-40B4-BE49-F238E27FC236}">
                  <a16:creationId xmlns:a16="http://schemas.microsoft.com/office/drawing/2014/main" id="{00000000-0008-0000-1A00-000003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27</xdr:row>
          <xdr:rowOff>142875</xdr:rowOff>
        </xdr:from>
        <xdr:to>
          <xdr:col>1</xdr:col>
          <xdr:colOff>847725</xdr:colOff>
          <xdr:row>27</xdr:row>
          <xdr:rowOff>457200</xdr:rowOff>
        </xdr:to>
        <xdr:sp macro="" textlink="">
          <xdr:nvSpPr>
            <xdr:cNvPr id="148490" name="Check Box 10" descr="Confirmed" hidden="1">
              <a:extLst>
                <a:ext uri="{63B3BB69-23CF-44E3-9099-C40C66FF867C}">
                  <a14:compatExt spid="_x0000_s148490"/>
                </a:ext>
                <a:ext uri="{FF2B5EF4-FFF2-40B4-BE49-F238E27FC236}">
                  <a16:creationId xmlns:a16="http://schemas.microsoft.com/office/drawing/2014/main" id="{00000000-0008-0000-1A00-00000A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Confirmed</a:t>
              </a:r>
            </a:p>
          </xdr:txBody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</xdr:row>
          <xdr:rowOff>19050</xdr:rowOff>
        </xdr:from>
        <xdr:to>
          <xdr:col>5</xdr:col>
          <xdr:colOff>0</xdr:colOff>
          <xdr:row>15</xdr:row>
          <xdr:rowOff>152400</xdr:rowOff>
        </xdr:to>
        <xdr:sp macro="" textlink="">
          <xdr:nvSpPr>
            <xdr:cNvPr id="232449" name="Spinner 1" hidden="1">
              <a:extLst>
                <a:ext uri="{63B3BB69-23CF-44E3-9099-C40C66FF867C}">
                  <a14:compatExt spid="_x0000_s232449"/>
                </a:ext>
                <a:ext uri="{FF2B5EF4-FFF2-40B4-BE49-F238E27FC236}">
                  <a16:creationId xmlns:a16="http://schemas.microsoft.com/office/drawing/2014/main" id="{00000000-0008-0000-1B00-0000018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19050</xdr:rowOff>
        </xdr:from>
        <xdr:to>
          <xdr:col>4</xdr:col>
          <xdr:colOff>0</xdr:colOff>
          <xdr:row>15</xdr:row>
          <xdr:rowOff>180975</xdr:rowOff>
        </xdr:to>
        <xdr:sp macro="" textlink="">
          <xdr:nvSpPr>
            <xdr:cNvPr id="232450" name="CommandButton1" hidden="1">
              <a:extLst>
                <a:ext uri="{63B3BB69-23CF-44E3-9099-C40C66FF867C}">
                  <a14:compatExt spid="_x0000_s232450"/>
                </a:ext>
                <a:ext uri="{FF2B5EF4-FFF2-40B4-BE49-F238E27FC236}">
                  <a16:creationId xmlns:a16="http://schemas.microsoft.com/office/drawing/2014/main" id="{00000000-0008-0000-1B00-0000028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8</xdr:col>
      <xdr:colOff>0</xdr:colOff>
      <xdr:row>0</xdr:row>
      <xdr:rowOff>45720</xdr:rowOff>
    </xdr:from>
    <xdr:to>
      <xdr:col>10</xdr:col>
      <xdr:colOff>449580</xdr:colOff>
      <xdr:row>9</xdr:row>
      <xdr:rowOff>22860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29600" y="45720"/>
          <a:ext cx="2221230" cy="17202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190500</xdr:colOff>
          <xdr:row>1</xdr:row>
          <xdr:rowOff>38100</xdr:rowOff>
        </xdr:to>
        <xdr:sp macro="" textlink="">
          <xdr:nvSpPr>
            <xdr:cNvPr id="232451" name="Button 3" hidden="1">
              <a:extLst>
                <a:ext uri="{63B3BB69-23CF-44E3-9099-C40C66FF867C}">
                  <a14:compatExt spid="_x0000_s232451"/>
                </a:ext>
                <a:ext uri="{FF2B5EF4-FFF2-40B4-BE49-F238E27FC236}">
                  <a16:creationId xmlns:a16="http://schemas.microsoft.com/office/drawing/2014/main" id="{00000000-0008-0000-1B00-0000038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27</xdr:row>
          <xdr:rowOff>133350</xdr:rowOff>
        </xdr:from>
        <xdr:to>
          <xdr:col>1</xdr:col>
          <xdr:colOff>847725</xdr:colOff>
          <xdr:row>27</xdr:row>
          <xdr:rowOff>447675</xdr:rowOff>
        </xdr:to>
        <xdr:sp macro="" textlink="">
          <xdr:nvSpPr>
            <xdr:cNvPr id="232458" name="Check Box 10" descr="Confirmed" hidden="1">
              <a:extLst>
                <a:ext uri="{63B3BB69-23CF-44E3-9099-C40C66FF867C}">
                  <a14:compatExt spid="_x0000_s232458"/>
                </a:ext>
                <a:ext uri="{FF2B5EF4-FFF2-40B4-BE49-F238E27FC236}">
                  <a16:creationId xmlns:a16="http://schemas.microsoft.com/office/drawing/2014/main" id="{00000000-0008-0000-1B00-00000A8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Confirmed</a:t>
              </a:r>
            </a:p>
          </xdr:txBody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552450</xdr:colOff>
      <xdr:row>1</xdr:row>
      <xdr:rowOff>9525</xdr:rowOff>
    </xdr:from>
    <xdr:to>
      <xdr:col>8</xdr:col>
      <xdr:colOff>600075</xdr:colOff>
      <xdr:row>7</xdr:row>
      <xdr:rowOff>76200</xdr:rowOff>
    </xdr:to>
    <xdr:pic>
      <xdr:nvPicPr>
        <xdr:cNvPr id="3" name="Picture 5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00450" y="200025"/>
          <a:ext cx="1876425" cy="1209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</xdr:colOff>
      <xdr:row>26</xdr:row>
      <xdr:rowOff>161926</xdr:rowOff>
    </xdr:from>
    <xdr:to>
      <xdr:col>20</xdr:col>
      <xdr:colOff>57151</xdr:colOff>
      <xdr:row>44</xdr:row>
      <xdr:rowOff>152400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514350</xdr:colOff>
          <xdr:row>0</xdr:row>
          <xdr:rowOff>238125</xdr:rowOff>
        </xdr:to>
        <xdr:sp macro="" textlink="">
          <xdr:nvSpPr>
            <xdr:cNvPr id="55303" name="Button 7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1C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238125</xdr:colOff>
          <xdr:row>32</xdr:row>
          <xdr:rowOff>19050</xdr:rowOff>
        </xdr:from>
        <xdr:to>
          <xdr:col>22</xdr:col>
          <xdr:colOff>352425</xdr:colOff>
          <xdr:row>33</xdr:row>
          <xdr:rowOff>0</xdr:rowOff>
        </xdr:to>
        <xdr:sp macro="" textlink="">
          <xdr:nvSpPr>
            <xdr:cNvPr id="55305" name="Button 9" hidden="1">
              <a:extLst>
                <a:ext uri="{63B3BB69-23CF-44E3-9099-C40C66FF867C}">
                  <a14:compatExt spid="_x0000_s55305"/>
                </a:ext>
                <a:ext uri="{FF2B5EF4-FFF2-40B4-BE49-F238E27FC236}">
                  <a16:creationId xmlns:a16="http://schemas.microsoft.com/office/drawing/2014/main" id="{00000000-0008-0000-1C00-00000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Backbend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238125</xdr:colOff>
          <xdr:row>30</xdr:row>
          <xdr:rowOff>19050</xdr:rowOff>
        </xdr:from>
        <xdr:to>
          <xdr:col>22</xdr:col>
          <xdr:colOff>352425</xdr:colOff>
          <xdr:row>31</xdr:row>
          <xdr:rowOff>9525</xdr:rowOff>
        </xdr:to>
        <xdr:sp macro="" textlink="">
          <xdr:nvSpPr>
            <xdr:cNvPr id="55306" name="Button 10" hidden="1">
              <a:extLst>
                <a:ext uri="{63B3BB69-23CF-44E3-9099-C40C66FF867C}">
                  <a14:compatExt spid="_x0000_s55306"/>
                </a:ext>
                <a:ext uri="{FF2B5EF4-FFF2-40B4-BE49-F238E27FC236}">
                  <a16:creationId xmlns:a16="http://schemas.microsoft.com/office/drawing/2014/main" id="{00000000-0008-0000-1C00-00000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TD,DB,HD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228600</xdr:colOff>
          <xdr:row>31</xdr:row>
          <xdr:rowOff>19050</xdr:rowOff>
        </xdr:from>
        <xdr:to>
          <xdr:col>22</xdr:col>
          <xdr:colOff>352425</xdr:colOff>
          <xdr:row>32</xdr:row>
          <xdr:rowOff>9525</xdr:rowOff>
        </xdr:to>
        <xdr:sp macro="" textlink="">
          <xdr:nvSpPr>
            <xdr:cNvPr id="55307" name="Button 11" hidden="1">
              <a:extLst>
                <a:ext uri="{63B3BB69-23CF-44E3-9099-C40C66FF867C}">
                  <a14:compatExt spid="_x0000_s55307"/>
                </a:ext>
                <a:ext uri="{FF2B5EF4-FFF2-40B4-BE49-F238E27FC236}">
                  <a16:creationId xmlns:a16="http://schemas.microsoft.com/office/drawing/2014/main" id="{00000000-0008-0000-1C00-00000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Str. Utility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228600</xdr:colOff>
          <xdr:row>29</xdr:row>
          <xdr:rowOff>19050</xdr:rowOff>
        </xdr:from>
        <xdr:to>
          <xdr:col>22</xdr:col>
          <xdr:colOff>352425</xdr:colOff>
          <xdr:row>30</xdr:row>
          <xdr:rowOff>9525</xdr:rowOff>
        </xdr:to>
        <xdr:sp macro="" textlink="">
          <xdr:nvSpPr>
            <xdr:cNvPr id="55308" name="Button 12" hidden="1">
              <a:extLst>
                <a:ext uri="{63B3BB69-23CF-44E3-9099-C40C66FF867C}">
                  <a14:compatExt spid="_x0000_s55308"/>
                </a:ext>
                <a:ext uri="{FF2B5EF4-FFF2-40B4-BE49-F238E27FC236}">
                  <a16:creationId xmlns:a16="http://schemas.microsoft.com/office/drawing/2014/main" id="{00000000-0008-0000-1C00-00000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Equipment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228600</xdr:colOff>
          <xdr:row>27</xdr:row>
          <xdr:rowOff>0</xdr:rowOff>
        </xdr:from>
        <xdr:to>
          <xdr:col>22</xdr:col>
          <xdr:colOff>352425</xdr:colOff>
          <xdr:row>28</xdr:row>
          <xdr:rowOff>0</xdr:rowOff>
        </xdr:to>
        <xdr:sp macro="" textlink="">
          <xdr:nvSpPr>
            <xdr:cNvPr id="55309" name="Button 13" hidden="1">
              <a:extLst>
                <a:ext uri="{63B3BB69-23CF-44E3-9099-C40C66FF867C}">
                  <a14:compatExt spid="_x0000_s55309"/>
                </a:ext>
                <a:ext uri="{FF2B5EF4-FFF2-40B4-BE49-F238E27FC236}">
                  <a16:creationId xmlns:a16="http://schemas.microsoft.com/office/drawing/2014/main" id="{00000000-0008-0000-1C00-00000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RFQ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228600</xdr:colOff>
          <xdr:row>28</xdr:row>
          <xdr:rowOff>9525</xdr:rowOff>
        </xdr:from>
        <xdr:to>
          <xdr:col>22</xdr:col>
          <xdr:colOff>352425</xdr:colOff>
          <xdr:row>29</xdr:row>
          <xdr:rowOff>9525</xdr:rowOff>
        </xdr:to>
        <xdr:sp macro="" textlink="">
          <xdr:nvSpPr>
            <xdr:cNvPr id="55310" name="Button 14" hidden="1">
              <a:extLst>
                <a:ext uri="{63B3BB69-23CF-44E3-9099-C40C66FF867C}">
                  <a14:compatExt spid="_x0000_s55310"/>
                </a:ext>
                <a:ext uri="{FF2B5EF4-FFF2-40B4-BE49-F238E27FC236}">
                  <a16:creationId xmlns:a16="http://schemas.microsoft.com/office/drawing/2014/main" id="{00000000-0008-0000-1C00-00000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Material Specs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57150</xdr:colOff>
      <xdr:row>1</xdr:row>
      <xdr:rowOff>76200</xdr:rowOff>
    </xdr:from>
    <xdr:to>
      <xdr:col>2</xdr:col>
      <xdr:colOff>161925</xdr:colOff>
      <xdr:row>1</xdr:row>
      <xdr:rowOff>76200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SpPr>
          <a:spLocks noChangeShapeType="1"/>
        </xdr:cNvSpPr>
      </xdr:nvSpPr>
      <xdr:spPr bwMode="auto">
        <a:xfrm>
          <a:off x="1276350" y="266700"/>
          <a:ext cx="1047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552450</xdr:colOff>
      <xdr:row>1</xdr:row>
      <xdr:rowOff>9525</xdr:rowOff>
    </xdr:from>
    <xdr:to>
      <xdr:col>8</xdr:col>
      <xdr:colOff>600075</xdr:colOff>
      <xdr:row>7</xdr:row>
      <xdr:rowOff>76200</xdr:rowOff>
    </xdr:to>
    <xdr:pic>
      <xdr:nvPicPr>
        <xdr:cNvPr id="3" name="Picture 5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67250" y="285750"/>
          <a:ext cx="2276475" cy="1209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</xdr:colOff>
      <xdr:row>26</xdr:row>
      <xdr:rowOff>161926</xdr:rowOff>
    </xdr:from>
    <xdr:to>
      <xdr:col>20</xdr:col>
      <xdr:colOff>57151</xdr:colOff>
      <xdr:row>44</xdr:row>
      <xdr:rowOff>152400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2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514350</xdr:colOff>
          <xdr:row>0</xdr:row>
          <xdr:rowOff>247650</xdr:rowOff>
        </xdr:to>
        <xdr:sp macro="" textlink="">
          <xdr:nvSpPr>
            <xdr:cNvPr id="107525" name="Button 5" hidden="1">
              <a:extLst>
                <a:ext uri="{63B3BB69-23CF-44E3-9099-C40C66FF867C}">
                  <a14:compatExt spid="_x0000_s107525"/>
                </a:ext>
                <a:ext uri="{FF2B5EF4-FFF2-40B4-BE49-F238E27FC236}">
                  <a16:creationId xmlns:a16="http://schemas.microsoft.com/office/drawing/2014/main" id="{00000000-0008-0000-2000-000005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57150</xdr:colOff>
      <xdr:row>1</xdr:row>
      <xdr:rowOff>76200</xdr:rowOff>
    </xdr:from>
    <xdr:to>
      <xdr:col>2</xdr:col>
      <xdr:colOff>161925</xdr:colOff>
      <xdr:row>1</xdr:row>
      <xdr:rowOff>76200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SpPr>
          <a:spLocks noChangeShapeType="1"/>
        </xdr:cNvSpPr>
      </xdr:nvSpPr>
      <xdr:spPr bwMode="auto">
        <a:xfrm>
          <a:off x="1276350" y="266700"/>
          <a:ext cx="1047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38100</xdr:colOff>
      <xdr:row>1</xdr:row>
      <xdr:rowOff>85725</xdr:rowOff>
    </xdr:from>
    <xdr:to>
      <xdr:col>8</xdr:col>
      <xdr:colOff>619125</xdr:colOff>
      <xdr:row>7</xdr:row>
      <xdr:rowOff>152400</xdr:rowOff>
    </xdr:to>
    <xdr:pic>
      <xdr:nvPicPr>
        <xdr:cNvPr id="4" name="Picture 5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95700" y="276225"/>
          <a:ext cx="1790700" cy="1209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19049</xdr:colOff>
      <xdr:row>26</xdr:row>
      <xdr:rowOff>190499</xdr:rowOff>
    </xdr:from>
    <xdr:to>
      <xdr:col>18</xdr:col>
      <xdr:colOff>0</xdr:colOff>
      <xdr:row>47</xdr:row>
      <xdr:rowOff>104774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2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1600200</xdr:colOff>
          <xdr:row>16</xdr:row>
          <xdr:rowOff>200025</xdr:rowOff>
        </xdr:from>
        <xdr:to>
          <xdr:col>2</xdr:col>
          <xdr:colOff>66675</xdr:colOff>
          <xdr:row>18</xdr:row>
          <xdr:rowOff>9525</xdr:rowOff>
        </xdr:to>
        <xdr:sp macro="" textlink="">
          <xdr:nvSpPr>
            <xdr:cNvPr id="64519" name="ComboBox26" hidden="1">
              <a:extLst>
                <a:ext uri="{63B3BB69-23CF-44E3-9099-C40C66FF867C}">
                  <a14:compatExt spid="_x0000_s64519"/>
                </a:ext>
                <a:ext uri="{FF2B5EF4-FFF2-40B4-BE49-F238E27FC236}">
                  <a16:creationId xmlns:a16="http://schemas.microsoft.com/office/drawing/2014/main" id="{00000000-0008-0000-2400-000007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38100</xdr:colOff>
      <xdr:row>1</xdr:row>
      <xdr:rowOff>85725</xdr:rowOff>
    </xdr:from>
    <xdr:to>
      <xdr:col>8</xdr:col>
      <xdr:colOff>619125</xdr:colOff>
      <xdr:row>7</xdr:row>
      <xdr:rowOff>152400</xdr:rowOff>
    </xdr:to>
    <xdr:pic>
      <xdr:nvPicPr>
        <xdr:cNvPr id="13" name="Picture 5">
          <a:extLst>
            <a:ext uri="{FF2B5EF4-FFF2-40B4-BE49-F238E27FC236}">
              <a16:creationId xmlns:a16="http://schemas.microsoft.com/office/drawing/2014/main" id="{00000000-0008-0000-24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19675" y="361950"/>
          <a:ext cx="2047875" cy="1209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19049</xdr:colOff>
      <xdr:row>26</xdr:row>
      <xdr:rowOff>190499</xdr:rowOff>
    </xdr:from>
    <xdr:to>
      <xdr:col>18</xdr:col>
      <xdr:colOff>0</xdr:colOff>
      <xdr:row>47</xdr:row>
      <xdr:rowOff>104774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2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1581150</xdr:colOff>
          <xdr:row>0</xdr:row>
          <xdr:rowOff>247650</xdr:rowOff>
        </xdr:to>
        <xdr:sp macro="" textlink="">
          <xdr:nvSpPr>
            <xdr:cNvPr id="64521" name="Button 9" hidden="1">
              <a:extLst>
                <a:ext uri="{63B3BB69-23CF-44E3-9099-C40C66FF867C}">
                  <a14:compatExt spid="_x0000_s64521"/>
                </a:ext>
                <a:ext uri="{FF2B5EF4-FFF2-40B4-BE49-F238E27FC236}">
                  <a16:creationId xmlns:a16="http://schemas.microsoft.com/office/drawing/2014/main" id="{00000000-0008-0000-2400-000009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152400</xdr:colOff>
          <xdr:row>32</xdr:row>
          <xdr:rowOff>38100</xdr:rowOff>
        </xdr:from>
        <xdr:to>
          <xdr:col>20</xdr:col>
          <xdr:colOff>352425</xdr:colOff>
          <xdr:row>33</xdr:row>
          <xdr:rowOff>28575</xdr:rowOff>
        </xdr:to>
        <xdr:sp macro="" textlink="">
          <xdr:nvSpPr>
            <xdr:cNvPr id="64524" name="Button 12" hidden="1">
              <a:extLst>
                <a:ext uri="{63B3BB69-23CF-44E3-9099-C40C66FF867C}">
                  <a14:compatExt spid="_x0000_s64524"/>
                </a:ext>
                <a:ext uri="{FF2B5EF4-FFF2-40B4-BE49-F238E27FC236}">
                  <a16:creationId xmlns:a16="http://schemas.microsoft.com/office/drawing/2014/main" id="{00000000-0008-0000-2400-00000C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Backbend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152400</xdr:colOff>
          <xdr:row>30</xdr:row>
          <xdr:rowOff>28575</xdr:rowOff>
        </xdr:from>
        <xdr:to>
          <xdr:col>20</xdr:col>
          <xdr:colOff>342900</xdr:colOff>
          <xdr:row>31</xdr:row>
          <xdr:rowOff>19050</xdr:rowOff>
        </xdr:to>
        <xdr:sp macro="" textlink="">
          <xdr:nvSpPr>
            <xdr:cNvPr id="64525" name="Button 13" hidden="1">
              <a:extLst>
                <a:ext uri="{63B3BB69-23CF-44E3-9099-C40C66FF867C}">
                  <a14:compatExt spid="_x0000_s64525"/>
                </a:ext>
                <a:ext uri="{FF2B5EF4-FFF2-40B4-BE49-F238E27FC236}">
                  <a16:creationId xmlns:a16="http://schemas.microsoft.com/office/drawing/2014/main" id="{00000000-0008-0000-2400-00000D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TD,DB,HD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142875</xdr:colOff>
          <xdr:row>31</xdr:row>
          <xdr:rowOff>38100</xdr:rowOff>
        </xdr:from>
        <xdr:to>
          <xdr:col>20</xdr:col>
          <xdr:colOff>352425</xdr:colOff>
          <xdr:row>32</xdr:row>
          <xdr:rowOff>28575</xdr:rowOff>
        </xdr:to>
        <xdr:sp macro="" textlink="">
          <xdr:nvSpPr>
            <xdr:cNvPr id="64526" name="Button 14" hidden="1">
              <a:extLst>
                <a:ext uri="{63B3BB69-23CF-44E3-9099-C40C66FF867C}">
                  <a14:compatExt spid="_x0000_s64526"/>
                </a:ext>
                <a:ext uri="{FF2B5EF4-FFF2-40B4-BE49-F238E27FC236}">
                  <a16:creationId xmlns:a16="http://schemas.microsoft.com/office/drawing/2014/main" id="{00000000-0008-0000-2400-00000E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Str. Utility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142875</xdr:colOff>
          <xdr:row>29</xdr:row>
          <xdr:rowOff>19050</xdr:rowOff>
        </xdr:from>
        <xdr:to>
          <xdr:col>20</xdr:col>
          <xdr:colOff>352425</xdr:colOff>
          <xdr:row>30</xdr:row>
          <xdr:rowOff>19050</xdr:rowOff>
        </xdr:to>
        <xdr:sp macro="" textlink="">
          <xdr:nvSpPr>
            <xdr:cNvPr id="64527" name="Button 15" hidden="1">
              <a:extLst>
                <a:ext uri="{63B3BB69-23CF-44E3-9099-C40C66FF867C}">
                  <a14:compatExt spid="_x0000_s64527"/>
                </a:ext>
                <a:ext uri="{FF2B5EF4-FFF2-40B4-BE49-F238E27FC236}">
                  <a16:creationId xmlns:a16="http://schemas.microsoft.com/office/drawing/2014/main" id="{00000000-0008-0000-2400-00000F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Equipment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142875</xdr:colOff>
          <xdr:row>26</xdr:row>
          <xdr:rowOff>200025</xdr:rowOff>
        </xdr:from>
        <xdr:to>
          <xdr:col>20</xdr:col>
          <xdr:colOff>352425</xdr:colOff>
          <xdr:row>27</xdr:row>
          <xdr:rowOff>190500</xdr:rowOff>
        </xdr:to>
        <xdr:sp macro="" textlink="">
          <xdr:nvSpPr>
            <xdr:cNvPr id="64528" name="Button 16" hidden="1">
              <a:extLst>
                <a:ext uri="{63B3BB69-23CF-44E3-9099-C40C66FF867C}">
                  <a14:compatExt spid="_x0000_s64528"/>
                </a:ext>
                <a:ext uri="{FF2B5EF4-FFF2-40B4-BE49-F238E27FC236}">
                  <a16:creationId xmlns:a16="http://schemas.microsoft.com/office/drawing/2014/main" id="{00000000-0008-0000-2400-000010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RFQ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142875</xdr:colOff>
          <xdr:row>28</xdr:row>
          <xdr:rowOff>9525</xdr:rowOff>
        </xdr:from>
        <xdr:to>
          <xdr:col>20</xdr:col>
          <xdr:colOff>352425</xdr:colOff>
          <xdr:row>29</xdr:row>
          <xdr:rowOff>9525</xdr:rowOff>
        </xdr:to>
        <xdr:sp macro="" textlink="">
          <xdr:nvSpPr>
            <xdr:cNvPr id="64529" name="Button 17" hidden="1">
              <a:extLst>
                <a:ext uri="{63B3BB69-23CF-44E3-9099-C40C66FF867C}">
                  <a14:compatExt spid="_x0000_s64529"/>
                </a:ext>
                <a:ext uri="{FF2B5EF4-FFF2-40B4-BE49-F238E27FC236}">
                  <a16:creationId xmlns:a16="http://schemas.microsoft.com/office/drawing/2014/main" id="{00000000-0008-0000-2400-00001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Material Specs</a:t>
              </a:r>
            </a:p>
          </xdr:txBody>
        </xdr:sp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57150</xdr:colOff>
      <xdr:row>1</xdr:row>
      <xdr:rowOff>76200</xdr:rowOff>
    </xdr:from>
    <xdr:to>
      <xdr:col>2</xdr:col>
      <xdr:colOff>161925</xdr:colOff>
      <xdr:row>1</xdr:row>
      <xdr:rowOff>76200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SpPr>
          <a:spLocks noChangeShapeType="1"/>
        </xdr:cNvSpPr>
      </xdr:nvSpPr>
      <xdr:spPr bwMode="auto">
        <a:xfrm>
          <a:off x="1276350" y="266700"/>
          <a:ext cx="1047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33</xdr:row>
      <xdr:rowOff>111125</xdr:rowOff>
    </xdr:from>
    <xdr:to>
      <xdr:col>10</xdr:col>
      <xdr:colOff>412750</xdr:colOff>
      <xdr:row>43</xdr:row>
      <xdr:rowOff>184150</xdr:rowOff>
    </xdr:to>
    <xdr:pic>
      <xdr:nvPicPr>
        <xdr:cNvPr id="2" name="Picture 5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91625" y="6562725"/>
          <a:ext cx="3451225" cy="2079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2047875</xdr:colOff>
          <xdr:row>1</xdr:row>
          <xdr:rowOff>85725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28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847725</xdr:colOff>
      <xdr:row>33</xdr:row>
      <xdr:rowOff>9525</xdr:rowOff>
    </xdr:from>
    <xdr:to>
      <xdr:col>4</xdr:col>
      <xdr:colOff>476250</xdr:colOff>
      <xdr:row>43</xdr:row>
      <xdr:rowOff>57150</xdr:rowOff>
    </xdr:to>
    <xdr:pic>
      <xdr:nvPicPr>
        <xdr:cNvPr id="2" name="Picture 5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91175" y="6419850"/>
          <a:ext cx="3448050" cy="2047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2162175</xdr:colOff>
          <xdr:row>0</xdr:row>
          <xdr:rowOff>295275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29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533400</xdr:colOff>
      <xdr:row>36</xdr:row>
      <xdr:rowOff>38100</xdr:rowOff>
    </xdr:from>
    <xdr:to>
      <xdr:col>3</xdr:col>
      <xdr:colOff>1066800</xdr:colOff>
      <xdr:row>46</xdr:row>
      <xdr:rowOff>66675</xdr:rowOff>
    </xdr:to>
    <xdr:pic>
      <xdr:nvPicPr>
        <xdr:cNvPr id="2" name="Picture 5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34000" y="7048500"/>
          <a:ext cx="3448050" cy="2028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2057400</xdr:colOff>
          <xdr:row>0</xdr:row>
          <xdr:rowOff>352425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2A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533400</xdr:colOff>
      <xdr:row>36</xdr:row>
      <xdr:rowOff>38100</xdr:rowOff>
    </xdr:from>
    <xdr:to>
      <xdr:col>3</xdr:col>
      <xdr:colOff>1066800</xdr:colOff>
      <xdr:row>46</xdr:row>
      <xdr:rowOff>66675</xdr:rowOff>
    </xdr:to>
    <xdr:pic>
      <xdr:nvPicPr>
        <xdr:cNvPr id="2" name="Picture 5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34000" y="7048500"/>
          <a:ext cx="3448050" cy="2028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2124075</xdr:colOff>
          <xdr:row>0</xdr:row>
          <xdr:rowOff>438150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2B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38100</xdr:colOff>
      <xdr:row>1</xdr:row>
      <xdr:rowOff>85725</xdr:rowOff>
    </xdr:from>
    <xdr:to>
      <xdr:col>8</xdr:col>
      <xdr:colOff>619125</xdr:colOff>
      <xdr:row>7</xdr:row>
      <xdr:rowOff>152400</xdr:rowOff>
    </xdr:to>
    <xdr:pic>
      <xdr:nvPicPr>
        <xdr:cNvPr id="3" name="Picture 5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1650" y="361950"/>
          <a:ext cx="2047875" cy="1266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19049</xdr:colOff>
      <xdr:row>26</xdr:row>
      <xdr:rowOff>190499</xdr:rowOff>
    </xdr:from>
    <xdr:to>
      <xdr:col>18</xdr:col>
      <xdr:colOff>0</xdr:colOff>
      <xdr:row>47</xdr:row>
      <xdr:rowOff>104774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2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38100</xdr:colOff>
      <xdr:row>1</xdr:row>
      <xdr:rowOff>85725</xdr:rowOff>
    </xdr:from>
    <xdr:to>
      <xdr:col>8</xdr:col>
      <xdr:colOff>619125</xdr:colOff>
      <xdr:row>7</xdr:row>
      <xdr:rowOff>152400</xdr:rowOff>
    </xdr:to>
    <xdr:pic>
      <xdr:nvPicPr>
        <xdr:cNvPr id="10" name="Picture 5">
          <a:extLst>
            <a:ext uri="{FF2B5EF4-FFF2-40B4-BE49-F238E27FC236}">
              <a16:creationId xmlns:a16="http://schemas.microsoft.com/office/drawing/2014/main" id="{00000000-0008-0000-2C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1650" y="361950"/>
          <a:ext cx="2047875" cy="1266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19049</xdr:colOff>
      <xdr:row>26</xdr:row>
      <xdr:rowOff>190499</xdr:rowOff>
    </xdr:from>
    <xdr:to>
      <xdr:col>18</xdr:col>
      <xdr:colOff>0</xdr:colOff>
      <xdr:row>47</xdr:row>
      <xdr:rowOff>104774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2C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1581150</xdr:colOff>
          <xdr:row>0</xdr:row>
          <xdr:rowOff>247650</xdr:rowOff>
        </xdr:to>
        <xdr:sp macro="" textlink="">
          <xdr:nvSpPr>
            <xdr:cNvPr id="121863" name="Button 7" hidden="1">
              <a:extLst>
                <a:ext uri="{63B3BB69-23CF-44E3-9099-C40C66FF867C}">
                  <a14:compatExt spid="_x0000_s121863"/>
                </a:ext>
                <a:ext uri="{FF2B5EF4-FFF2-40B4-BE49-F238E27FC236}">
                  <a16:creationId xmlns:a16="http://schemas.microsoft.com/office/drawing/2014/main" id="{00000000-0008-0000-2C00-000007D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57150</xdr:colOff>
      <xdr:row>1</xdr:row>
      <xdr:rowOff>76200</xdr:rowOff>
    </xdr:from>
    <xdr:to>
      <xdr:col>2</xdr:col>
      <xdr:colOff>161925</xdr:colOff>
      <xdr:row>1</xdr:row>
      <xdr:rowOff>76200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SpPr>
          <a:spLocks noChangeShapeType="1"/>
        </xdr:cNvSpPr>
      </xdr:nvSpPr>
      <xdr:spPr bwMode="auto">
        <a:xfrm>
          <a:off x="1276350" y="266700"/>
          <a:ext cx="1047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561975</xdr:colOff>
      <xdr:row>0</xdr:row>
      <xdr:rowOff>266700</xdr:rowOff>
    </xdr:from>
    <xdr:to>
      <xdr:col>10</xdr:col>
      <xdr:colOff>457200</xdr:colOff>
      <xdr:row>8</xdr:row>
      <xdr:rowOff>186187</xdr:rowOff>
    </xdr:to>
    <xdr:pic>
      <xdr:nvPicPr>
        <xdr:cNvPr id="4" name="Picture 5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19575" y="190500"/>
          <a:ext cx="2333625" cy="151968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26</xdr:row>
      <xdr:rowOff>161925</xdr:rowOff>
    </xdr:from>
    <xdr:to>
      <xdr:col>20</xdr:col>
      <xdr:colOff>28574</xdr:colOff>
      <xdr:row>49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3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342900</xdr:colOff>
          <xdr:row>1</xdr:row>
          <xdr:rowOff>0</xdr:rowOff>
        </xdr:to>
        <xdr:sp macro="" textlink="">
          <xdr:nvSpPr>
            <xdr:cNvPr id="78855" name="Button 7" hidden="1">
              <a:extLst>
                <a:ext uri="{63B3BB69-23CF-44E3-9099-C40C66FF867C}">
                  <a14:compatExt spid="_x0000_s78855"/>
                </a:ext>
                <a:ext uri="{FF2B5EF4-FFF2-40B4-BE49-F238E27FC236}">
                  <a16:creationId xmlns:a16="http://schemas.microsoft.com/office/drawing/2014/main" id="{00000000-0008-0000-3000-000007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561975</xdr:colOff>
      <xdr:row>0</xdr:row>
      <xdr:rowOff>266700</xdr:rowOff>
    </xdr:from>
    <xdr:to>
      <xdr:col>10</xdr:col>
      <xdr:colOff>457200</xdr:colOff>
      <xdr:row>8</xdr:row>
      <xdr:rowOff>186187</xdr:rowOff>
    </xdr:to>
    <xdr:pic>
      <xdr:nvPicPr>
        <xdr:cNvPr id="10" name="Picture 5">
          <a:extLst>
            <a:ext uri="{FF2B5EF4-FFF2-40B4-BE49-F238E27FC236}">
              <a16:creationId xmlns:a16="http://schemas.microsoft.com/office/drawing/2014/main" id="{00000000-0008-0000-3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38775" y="266700"/>
          <a:ext cx="2505075" cy="15292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26</xdr:row>
      <xdr:rowOff>161925</xdr:rowOff>
    </xdr:from>
    <xdr:to>
      <xdr:col>19</xdr:col>
      <xdr:colOff>1026583</xdr:colOff>
      <xdr:row>49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3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209550</xdr:colOff>
          <xdr:row>32</xdr:row>
          <xdr:rowOff>114300</xdr:rowOff>
        </xdr:from>
        <xdr:to>
          <xdr:col>22</xdr:col>
          <xdr:colOff>295275</xdr:colOff>
          <xdr:row>33</xdr:row>
          <xdr:rowOff>104775</xdr:rowOff>
        </xdr:to>
        <xdr:sp macro="" textlink="">
          <xdr:nvSpPr>
            <xdr:cNvPr id="78865" name="Button 17" hidden="1">
              <a:extLst>
                <a:ext uri="{63B3BB69-23CF-44E3-9099-C40C66FF867C}">
                  <a14:compatExt spid="_x0000_s78865"/>
                </a:ext>
                <a:ext uri="{FF2B5EF4-FFF2-40B4-BE49-F238E27FC236}">
                  <a16:creationId xmlns:a16="http://schemas.microsoft.com/office/drawing/2014/main" id="{00000000-0008-0000-3000-000011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Backbend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209550</xdr:colOff>
          <xdr:row>30</xdr:row>
          <xdr:rowOff>104775</xdr:rowOff>
        </xdr:from>
        <xdr:to>
          <xdr:col>22</xdr:col>
          <xdr:colOff>285750</xdr:colOff>
          <xdr:row>31</xdr:row>
          <xdr:rowOff>95250</xdr:rowOff>
        </xdr:to>
        <xdr:sp macro="" textlink="">
          <xdr:nvSpPr>
            <xdr:cNvPr id="78866" name="Button 18" hidden="1">
              <a:extLst>
                <a:ext uri="{63B3BB69-23CF-44E3-9099-C40C66FF867C}">
                  <a14:compatExt spid="_x0000_s78866"/>
                </a:ext>
                <a:ext uri="{FF2B5EF4-FFF2-40B4-BE49-F238E27FC236}">
                  <a16:creationId xmlns:a16="http://schemas.microsoft.com/office/drawing/2014/main" id="{00000000-0008-0000-3000-000012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TD,DB,HD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200025</xdr:colOff>
          <xdr:row>31</xdr:row>
          <xdr:rowOff>114300</xdr:rowOff>
        </xdr:from>
        <xdr:to>
          <xdr:col>22</xdr:col>
          <xdr:colOff>295275</xdr:colOff>
          <xdr:row>32</xdr:row>
          <xdr:rowOff>104775</xdr:rowOff>
        </xdr:to>
        <xdr:sp macro="" textlink="">
          <xdr:nvSpPr>
            <xdr:cNvPr id="78867" name="Button 19" hidden="1">
              <a:extLst>
                <a:ext uri="{63B3BB69-23CF-44E3-9099-C40C66FF867C}">
                  <a14:compatExt spid="_x0000_s78867"/>
                </a:ext>
                <a:ext uri="{FF2B5EF4-FFF2-40B4-BE49-F238E27FC236}">
                  <a16:creationId xmlns:a16="http://schemas.microsoft.com/office/drawing/2014/main" id="{00000000-0008-0000-3000-000013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Str. Utility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200025</xdr:colOff>
          <xdr:row>29</xdr:row>
          <xdr:rowOff>95250</xdr:rowOff>
        </xdr:from>
        <xdr:to>
          <xdr:col>22</xdr:col>
          <xdr:colOff>295275</xdr:colOff>
          <xdr:row>30</xdr:row>
          <xdr:rowOff>95250</xdr:rowOff>
        </xdr:to>
        <xdr:sp macro="" textlink="">
          <xdr:nvSpPr>
            <xdr:cNvPr id="78868" name="Button 20" hidden="1">
              <a:extLst>
                <a:ext uri="{63B3BB69-23CF-44E3-9099-C40C66FF867C}">
                  <a14:compatExt spid="_x0000_s78868"/>
                </a:ext>
                <a:ext uri="{FF2B5EF4-FFF2-40B4-BE49-F238E27FC236}">
                  <a16:creationId xmlns:a16="http://schemas.microsoft.com/office/drawing/2014/main" id="{00000000-0008-0000-3000-000014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Equipment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200025</xdr:colOff>
          <xdr:row>27</xdr:row>
          <xdr:rowOff>85725</xdr:rowOff>
        </xdr:from>
        <xdr:to>
          <xdr:col>22</xdr:col>
          <xdr:colOff>295275</xdr:colOff>
          <xdr:row>28</xdr:row>
          <xdr:rowOff>76200</xdr:rowOff>
        </xdr:to>
        <xdr:sp macro="" textlink="">
          <xdr:nvSpPr>
            <xdr:cNvPr id="78869" name="Button 21" hidden="1">
              <a:extLst>
                <a:ext uri="{63B3BB69-23CF-44E3-9099-C40C66FF867C}">
                  <a14:compatExt spid="_x0000_s78869"/>
                </a:ext>
                <a:ext uri="{FF2B5EF4-FFF2-40B4-BE49-F238E27FC236}">
                  <a16:creationId xmlns:a16="http://schemas.microsoft.com/office/drawing/2014/main" id="{00000000-0008-0000-3000-000015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RFQ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200025</xdr:colOff>
          <xdr:row>28</xdr:row>
          <xdr:rowOff>85725</xdr:rowOff>
        </xdr:from>
        <xdr:to>
          <xdr:col>22</xdr:col>
          <xdr:colOff>295275</xdr:colOff>
          <xdr:row>29</xdr:row>
          <xdr:rowOff>85725</xdr:rowOff>
        </xdr:to>
        <xdr:sp macro="" textlink="">
          <xdr:nvSpPr>
            <xdr:cNvPr id="78870" name="Button 22" hidden="1">
              <a:extLst>
                <a:ext uri="{63B3BB69-23CF-44E3-9099-C40C66FF867C}">
                  <a14:compatExt spid="_x0000_s78870"/>
                </a:ext>
                <a:ext uri="{FF2B5EF4-FFF2-40B4-BE49-F238E27FC236}">
                  <a16:creationId xmlns:a16="http://schemas.microsoft.com/office/drawing/2014/main" id="{00000000-0008-0000-3000-000016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Material Specs</a:t>
              </a:r>
            </a:p>
          </xdr:txBody>
        </xdr:sp>
        <xdr:clientData fPrintsWithSheet="0"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57150</xdr:colOff>
      <xdr:row>1</xdr:row>
      <xdr:rowOff>76200</xdr:rowOff>
    </xdr:from>
    <xdr:to>
      <xdr:col>2</xdr:col>
      <xdr:colOff>161925</xdr:colOff>
      <xdr:row>1</xdr:row>
      <xdr:rowOff>76200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SpPr>
          <a:spLocks noChangeShapeType="1"/>
        </xdr:cNvSpPr>
      </xdr:nvSpPr>
      <xdr:spPr bwMode="auto">
        <a:xfrm>
          <a:off x="1276350" y="266700"/>
          <a:ext cx="1047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561975</xdr:colOff>
      <xdr:row>0</xdr:row>
      <xdr:rowOff>266700</xdr:rowOff>
    </xdr:from>
    <xdr:to>
      <xdr:col>10</xdr:col>
      <xdr:colOff>457200</xdr:colOff>
      <xdr:row>8</xdr:row>
      <xdr:rowOff>186187</xdr:rowOff>
    </xdr:to>
    <xdr:pic>
      <xdr:nvPicPr>
        <xdr:cNvPr id="3" name="Picture 5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38775" y="266700"/>
          <a:ext cx="2505075" cy="15292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26</xdr:row>
      <xdr:rowOff>161925</xdr:rowOff>
    </xdr:from>
    <xdr:to>
      <xdr:col>19</xdr:col>
      <xdr:colOff>878416</xdr:colOff>
      <xdr:row>49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3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342900</xdr:colOff>
          <xdr:row>1</xdr:row>
          <xdr:rowOff>0</xdr:rowOff>
        </xdr:to>
        <xdr:sp macro="" textlink="">
          <xdr:nvSpPr>
            <xdr:cNvPr id="109573" name="Button 5" hidden="1">
              <a:extLst>
                <a:ext uri="{63B3BB69-23CF-44E3-9099-C40C66FF867C}">
                  <a14:compatExt spid="_x0000_s109573"/>
                </a:ext>
                <a:ext uri="{FF2B5EF4-FFF2-40B4-BE49-F238E27FC236}">
                  <a16:creationId xmlns:a16="http://schemas.microsoft.com/office/drawing/2014/main" id="{00000000-0008-0000-3400-000005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57150</xdr:colOff>
      <xdr:row>1</xdr:row>
      <xdr:rowOff>76200</xdr:rowOff>
    </xdr:from>
    <xdr:to>
      <xdr:col>2</xdr:col>
      <xdr:colOff>161925</xdr:colOff>
      <xdr:row>1</xdr:row>
      <xdr:rowOff>76200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3500-000002000000}"/>
            </a:ext>
          </a:extLst>
        </xdr:cNvPr>
        <xdr:cNvSpPr>
          <a:spLocks noChangeShapeType="1"/>
        </xdr:cNvSpPr>
      </xdr:nvSpPr>
      <xdr:spPr bwMode="auto">
        <a:xfrm>
          <a:off x="1276350" y="266700"/>
          <a:ext cx="1047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190500</xdr:colOff>
          <xdr:row>2</xdr:row>
          <xdr:rowOff>9525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38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351D47C-F17C-4003-B7B4-E048C708D1AA}" name="tblPressFeed" displayName="tblPressFeed" ref="AF17:AF19" totalsRowShown="0" headerRowDxfId="390" dataDxfId="389">
  <autoFilter ref="AF17:AF19" xr:uid="{EDA85552-E1C5-4EF6-9B32-006F4E74CC96}"/>
  <tableColumns count="1">
    <tableColumn id="1" xr3:uid="{3C63F09C-3ECE-4FD1-B863-8047E3CC0F5E}" name="Press Feed" dataDxfId="38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3905952-5C18-45C4-9DDD-8F49C68283EA}" name="tblCTL" displayName="tblCTL" ref="AG17:AG19" totalsRowShown="0" headerRowDxfId="387" dataDxfId="386">
  <autoFilter ref="AG17:AG19" xr:uid="{61D99ACE-5AA1-4726-9724-7DC0EC72A8B5}"/>
  <tableColumns count="1">
    <tableColumn id="1" xr3:uid="{AADB09F5-1E61-436C-84D1-318089D100AB}" name="Cut to Length" dataDxfId="38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DC970D1-7BF4-457F-9627-6A604D44EF10}" name="tblStandalone" displayName="tblStandalone" ref="AH17:AH25" totalsRowShown="0" headerRowDxfId="384" dataDxfId="383">
  <autoFilter ref="AH17:AH25" xr:uid="{1A839AE4-1390-4245-A980-ABA629A71CDF}"/>
  <tableColumns count="1">
    <tableColumn id="1" xr3:uid="{EB39A6EA-B9EF-4855-BB94-4B2AF8B5FCA0}" name="Standalone" dataDxfId="38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1CDA99D-1434-46CE-89E2-F8C5DE6F152B}" name="tblPullThru" displayName="tblPullThru" ref="AL17:AM27" totalsRowShown="0" headerRowDxfId="381" dataDxfId="380">
  <autoFilter ref="AL17:AM27" xr:uid="{DD7EBC92-A3B3-4544-8993-35C3D4455506}"/>
  <tableColumns count="2">
    <tableColumn id="1" xr3:uid="{31DEAB2E-5B79-42C6-BA0B-AEFD3659282B}" name="LineType" dataDxfId="379"/>
    <tableColumn id="2" xr3:uid="{6A352C58-B7F1-43B3-83EC-DC68CAFC0AE4}" name="PullThruAllowed" dataDxfId="37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FA5EBAB-B069-4D06-9DE3-4C647C016E69}" name="tblReelModel" displayName="tblReelModel" ref="A258:D268" totalsRowShown="0">
  <autoFilter ref="A258:D268" xr:uid="{485488FA-8D5B-4F4B-A651-04184816890A}"/>
  <tableColumns count="4">
    <tableColumn id="1" xr3:uid="{B1BE8F77-BF9C-471B-B543-8CE08B255AD1}" name="Model"/>
    <tableColumn id="2" xr3:uid="{DFEC0D06-08BF-456F-83D6-D4A54DE0A1BA}" name="DriveFamily"/>
    <tableColumn id="3" xr3:uid="{C5B87EFF-C83A-4608-8E49-7CB5F4BAC384}" name="HolddownFamily"/>
    <tableColumn id="4" xr3:uid="{63461A52-9767-497D-9412-6CFB7776E114}" name="BrakeFamily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212F398-50EB-49D7-BA20-7E0C2C90321F}" name="tblDrives" displayName="tblDrives" ref="A272:E285" totalsRowShown="0">
  <autoFilter ref="A272:E285" xr:uid="{34F21993-6C74-432C-846B-43710A9A2E2C}"/>
  <sortState xmlns:xlrd2="http://schemas.microsoft.com/office/spreadsheetml/2017/richdata2" ref="A273:E287">
    <sortCondition ref="A272:A287"/>
  </sortState>
  <tableColumns count="5">
    <tableColumn id="1" xr3:uid="{8EAFD622-68F4-47FA-A6CC-EE194D1F9270}" name="DriveKey">
      <calculatedColumnFormula>B273&amp;"+"&amp;C273&amp;"+"&amp;D273</calculatedColumnFormula>
    </tableColumn>
    <tableColumn id="2" xr3:uid="{7707E758-41AD-4EEC-87C6-9ECD9A7096FC}" name="Family"/>
    <tableColumn id="3" xr3:uid="{113DF8BF-D220-4E97-AD02-EBD4B490CFC3}" name="AirClutch"/>
    <tableColumn id="4" xr3:uid="{6E13A113-DA55-43F4-9A40-54D4CD690519}" name="Drive"/>
    <tableColumn id="5" xr3:uid="{8A0D260A-2B08-4D75-8DCD-08389CDDDD24}" name="Torqu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CC8356E-46E5-40BA-BAE9-DDA8E47621C7}" name="tblHDMatrix" displayName="tblHDMatrix" ref="A293:J333" totalsRowShown="0">
  <autoFilter ref="A293:J333" xr:uid="{768B4D19-8406-40C4-95A0-AE5504E6E231}"/>
  <sortState xmlns:xlrd2="http://schemas.microsoft.com/office/spreadsheetml/2017/richdata2" ref="A294:J333">
    <sortCondition ref="A293:A333"/>
  </sortState>
  <tableColumns count="10">
    <tableColumn id="1" xr3:uid="{2F081403-EF33-40D0-B0A3-626761BC0680}" name="HolddownMatrixKey" dataDxfId="374">
      <calculatedColumnFormula>_xlfn.CONCAT($B294,"+",$C294,"+",$D294,"+",$E294)</calculatedColumnFormula>
    </tableColumn>
    <tableColumn id="2" xr3:uid="{045C7881-0527-4778-8801-CDE9E1333454}" name="HolddownFamily"/>
    <tableColumn id="3" xr3:uid="{41AAAFCA-1E22-4B4A-8888-A3C64D5C0998}" name="Sort">
      <calculatedColumnFormula>_xlfn.XLOOKUP($D294, tblHDOrder[Name], tblHDOrder[Sort], "", 0, 1)</calculatedColumnFormula>
    </tableColumn>
    <tableColumn id="4" xr3:uid="{C2009965-661A-45C6-A290-48BC76BCA725}" name="Name"/>
    <tableColumn id="5" xr3:uid="{DC5623D2-39FE-4110-B2ED-6ADF0279B33B}" name="CylinderType"/>
    <tableColumn id="6" xr3:uid="{8889AF87-E814-4C89-91C4-30F3412EA515}" name="PressureLabel"/>
    <tableColumn id="7" xr3:uid="{40F336E4-A254-404C-B71E-B71A012466C9}" name="PSI" dataDxfId="373"/>
    <tableColumn id="8" xr3:uid="{F9F9AE77-30C3-490F-A916-1CCCAC9B7020}" name="ForceFactor" dataDxfId="372"/>
    <tableColumn id="9" xr3:uid="{040124A0-2F33-4834-942B-C450A588A61A}" name="MinWidth" dataDxfId="371"/>
    <tableColumn id="10" xr3:uid="{8C94CF02-4569-43C6-8D64-6990B1D93183}" name="MaxPSI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F152BE7-F90D-408B-90E0-4E8CBB36B6F5}" name="tblSigma5" displayName="tblSigma5" ref="A424:B436" totalsRowShown="0">
  <autoFilter ref="A424:B436" xr:uid="{A6C4C151-EDBE-4DE6-8C7D-6885740185E3}"/>
  <tableColumns count="2">
    <tableColumn id="1" xr3:uid="{AF66B2A8-B99A-4D73-8FEB-757D1D2ACA25}" name="Model"/>
    <tableColumn id="2" xr3:uid="{5817FFA1-37B8-4DB5-A99E-7F0271D647E1}" name="Acceleratio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B54345D-62C7-4CFA-B7DC-447D6A7152F9}" name="tblSigma5PT" displayName="tblSigma5PT" ref="G428:H445" totalsRowShown="0">
  <autoFilter ref="G428:H445" xr:uid="{1E0505DA-A086-4C5E-B467-8020A8DD9280}"/>
  <tableColumns count="2">
    <tableColumn id="1" xr3:uid="{C09C70CF-F955-40DA-8809-CF48CF58E6EC}" name="Model"/>
    <tableColumn id="2" xr3:uid="{F1661312-60EB-47C4-ABE8-A9411702995C}" name="Acceleration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D0C8B48-3117-4090-86F2-9D14F72EDD48}" name="tblAB" displayName="tblAB" ref="M428:N437" totalsRowShown="0">
  <autoFilter ref="M428:N437" xr:uid="{BC3720F8-67E0-4A31-872C-32C19395BE5A}"/>
  <tableColumns count="2">
    <tableColumn id="1" xr3:uid="{DE74430E-EA0D-4010-A4E9-07EB9931EF34}" name="Model"/>
    <tableColumn id="2" xr3:uid="{99D98711-1F19-4F92-9491-0C6D565AAF1A}" name="Acceleration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C892C83A-0796-44EB-9173-827A05B94AED}" name="tblSigma5Width" displayName="tblSigma5Width" ref="A447:B530" totalsRowShown="0">
  <autoFilter ref="A447:B530" xr:uid="{8D11E776-6C5C-4B7A-9EDB-ECD484375008}"/>
  <tableColumns count="2">
    <tableColumn id="1" xr3:uid="{6D38E95F-199F-42A6-9074-9B8868042C01}" name="Model"/>
    <tableColumn id="2" xr3:uid="{DD58C4C2-B5C1-4536-A68E-54F5B4E45698}" name="Width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5ED41FC-68E9-47E3-8EAD-C6BB0401CE84}" name="tblSigma5PTWidth" displayName="tblSigma5PTWidth" ref="G451:H575" totalsRowShown="0">
  <autoFilter ref="G451:H575" xr:uid="{2DD145D8-6F28-434D-87AA-0424D5998246}"/>
  <tableColumns count="2">
    <tableColumn id="1" xr3:uid="{0B8553F1-7363-46B5-8CFD-7CC96D726A1E}" name="Model"/>
    <tableColumn id="2" xr3:uid="{89133D53-E044-4161-9C9D-2BF574A335A6}" name="Width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FC90F7D-5121-4C99-BD2B-56CA99EBCA3D}" name="tblABWidth" displayName="tblABWidth" ref="M451:N516" totalsRowShown="0">
  <autoFilter ref="M451:N516" xr:uid="{BBE0B8C7-680D-4766-BCC9-29DC19313921}"/>
  <tableColumns count="2">
    <tableColumn id="1" xr3:uid="{C5AC9836-244D-4197-B961-D9DC2ED8959E}" name="Model"/>
    <tableColumn id="2" xr3:uid="{D5D13203-E700-4B3B-9FF4-7511A799476E}" name="Width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67BE77E-7137-4706-95BF-76A5F4A1D152}" name="tblStrHP" displayName="tblStrHP" ref="E598:G646" totalsRowShown="0">
  <sortState xmlns:xlrd2="http://schemas.microsoft.com/office/spreadsheetml/2017/richdata2" ref="E599:G613">
    <sortCondition ref="E96:E110"/>
    <sortCondition ref="F96:F110"/>
  </sortState>
  <tableColumns count="3">
    <tableColumn id="1" xr3:uid="{42867728-C310-4BFF-8D3A-A6EB760B2DEC}" name="Model"/>
    <tableColumn id="2" xr3:uid="{A8FD5286-7CDE-4E99-896A-AD8988231BA9}" name="HP"/>
    <tableColumn id="3" xr3:uid="{C106B07F-F4EA-42BA-942B-22D52A2A9600}" name="MtrInertia" dataDxfId="370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E2972BD-64A8-45BC-AEC4-91D0450640EB}" name="tblStrModel" displayName="tblStrModel" ref="A576:B587" totalsRowShown="0">
  <autoFilter ref="A576:B587" xr:uid="{4EE060B4-FBB1-4853-820D-5C4C474CCAFD}"/>
  <tableColumns count="2">
    <tableColumn id="1" xr3:uid="{6C8F8E3C-9612-4DF9-802F-A8ACD2853C96}" name="Model"/>
    <tableColumn id="2" xr3:uid="{D3E8B382-E3DE-4B76-87B7-F7071107D6D1}" name="Current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EA6A128-70D7-44E8-B490-72F434BD3EEF}" name="tblStrWidth" displayName="tblStrWidth" ref="A594:B676" totalsRowShown="0">
  <autoFilter ref="A594:B676" xr:uid="{C4A81176-4481-4EC8-8748-C3DBA2D7F407}"/>
  <sortState xmlns:xlrd2="http://schemas.microsoft.com/office/spreadsheetml/2017/richdata2" ref="A595:B676">
    <sortCondition ref="A595:A677"/>
    <sortCondition ref="B595:B677"/>
  </sortState>
  <tableColumns count="2">
    <tableColumn id="1" xr3:uid="{AC97C73C-2F60-4F66-87C7-4A465C6139DF}" name="Model"/>
    <tableColumn id="2" xr3:uid="{92955A38-6856-4B14-8C75-6B12F57CD1A0}" name="Width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74A836D8-F81A-451D-B5A6-9905DF35AC1E}" name="tblStrFPM" displayName="tblStrFPM" ref="J598:L812" totalsRowShown="0">
  <autoFilter ref="J598:L812" xr:uid="{8FCC7B31-B910-49D2-95D0-C289402A3039}"/>
  <tableColumns count="3">
    <tableColumn id="1" xr3:uid="{2471CE03-FA15-44BB-9AA2-9F784603D528}" name="Model"/>
    <tableColumn id="2" xr3:uid="{1E9EBD0A-C51B-415C-8BB6-8102315BB512}" name="HP"/>
    <tableColumn id="3" xr3:uid="{0DE3BBAF-463E-4861-A0DF-8762191D6163}" name="FPM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6325089-6FF1-47C6-86FB-C45A962F8AD5}" name="tblHDOrder" displayName="tblHDOrder" ref="M293:N304" totalsRowShown="0">
  <autoFilter ref="M293:N304" xr:uid="{BB1A7E42-C718-4641-B9E2-82E0E465EE10}"/>
  <tableColumns count="2">
    <tableColumn id="1" xr3:uid="{5D5ECC2C-7FAD-4289-8249-D574585B6146}" name="Name"/>
    <tableColumn id="2" xr3:uid="{8975A334-EF48-4829-9671-9D9605DECFA9}" name="Sort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FB1CE285-3922-43F2-A719-A023776F7144}" name="tblReelDrive" displayName="tblReelDrive" ref="A232:I242" totalsRowShown="0" headerRowDxfId="369" dataDxfId="368">
  <autoFilter ref="A232:I242" xr:uid="{24338311-13EA-4B36-9EA1-07434CDAB65E}"/>
  <tableColumns count="9">
    <tableColumn id="1" xr3:uid="{962B66D8-8A40-4D9A-A694-D208ACBF9493}" name="Model"/>
    <tableColumn id="2" xr3:uid="{585FAD26-CAF1-4009-B759-B28E7567952E}" name="BearingDist" dataDxfId="367"/>
    <tableColumn id="3" xr3:uid="{EE15E2F7-A4E7-4410-9772-1FEA201CB20F}" name="FBearingDia" dataDxfId="366"/>
    <tableColumn id="4" xr3:uid="{E256BEB0-1FB8-4E2E-B747-AF26B462CAB8}" name="RBearingDia" dataDxfId="365"/>
    <tableColumn id="5" xr3:uid="{C083F84A-34AE-4B79-BD34-F57A4E440BA6}" name="CoilWeight" dataDxfId="364"/>
    <tableColumn id="6" xr3:uid="{7EE3FF27-1EC2-41DE-A4E9-6CEC110772BB}" name="MandrelDia" dataDxfId="363"/>
    <tableColumn id="7" xr3:uid="{A060AC42-7C0E-4757-91C4-E56EF1837938}" name="Backplate" dataDxfId="362"/>
    <tableColumn id="8" xr3:uid="{500F382A-08FC-4F8F-B473-067005C750A7}" name="FullODBackplate" dataDxfId="361"/>
    <tableColumn id="9" xr3:uid="{E09D4C1D-AE3E-4D97-BF25-F29D5CDC1535}" name="BackplateThickness" dataDxfId="360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808A0A42-3CDF-41CF-8F59-09208DD0A189}" name="tblReelHPX" displayName="tblReelHPX" ref="A337:B349" totalsRowShown="0" headerRowDxfId="359" dataDxfId="358">
  <autoFilter ref="A337:B349" xr:uid="{B5B5D421-29EC-416C-AE84-8EB6CAA273A4}"/>
  <tableColumns count="2">
    <tableColumn id="1" xr3:uid="{F41602A7-8B12-4891-BCC0-5CB6FC8F9E34}" name="HP" dataDxfId="357"/>
    <tableColumn id="2" xr3:uid="{0EF95AC1-D726-484C-9117-038A3C7130E3}" name="MtrInertia" dataDxfId="356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FB0E2E3-0B70-4F6F-9A52-57C0CED39C35}" name="tblReelWidth" displayName="tblReelWidth" ref="A354:B418" totalsRowShown="0" headerRowDxfId="355" dataDxfId="354">
  <autoFilter ref="A354:B418" xr:uid="{9CA1C4BA-2280-41A6-B0E5-52FF840D738C}"/>
  <tableColumns count="2">
    <tableColumn id="1" xr3:uid="{5BA26375-8BC3-43F3-B2DE-A4C81EF5D726}" name="Model" dataDxfId="353"/>
    <tableColumn id="2" xr3:uid="{7DEB05CA-8BB4-47A8-BB60-E65A0E79F7BB}" name="Width" dataDxfId="352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3F10AD0-0097-4DB5-B2F4-282CA5725F9E}" name="tblReelHP" displayName="tblReelHP" ref="E354:G395" totalsRowShown="0" headerRowDxfId="351" dataDxfId="350">
  <autoFilter ref="E354:G395" xr:uid="{6154F276-1AF7-42B8-AE4A-3A636516BC7B}"/>
  <tableColumns count="3">
    <tableColumn id="1" xr3:uid="{E0852834-8507-4F93-AD66-9A45D7F785F8}" name="Model" dataDxfId="349"/>
    <tableColumn id="2" xr3:uid="{5F0B934F-88D2-4D68-9529-324A9491B593}" name="HP" dataDxfId="348"/>
    <tableColumn id="3" xr3:uid="{FB784AE8-EA86-45DF-AAF2-D14AA72244B5}" name="MtrInertia" dataDxfId="347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ECCAD35C-5962-49B4-A825-319FCEA43913}" name="tblReelBP" displayName="tblReelBP" ref="M354:O371" totalsRowShown="0">
  <autoFilter ref="M354:O371" xr:uid="{A66EAE28-AFB7-4561-81C5-760B08814ACC}"/>
  <tableColumns count="3">
    <tableColumn id="1" xr3:uid="{6FECB2E8-8460-4371-9CF5-A69BC0348FB2}" name="Model"/>
    <tableColumn id="2" xr3:uid="{DB55ED57-5089-4214-9806-E766E477804A}" name="Backplate"/>
    <tableColumn id="3" xr3:uid="{DF3C6841-C3F9-455D-96F5-8BCDFE555B25}" name="Thicknes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ctrlProp" Target="../ctrlProps/ctrlProp14.xml"/><Relationship Id="rId18" Type="http://schemas.openxmlformats.org/officeDocument/2006/relationships/table" Target="../tables/table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17" Type="http://schemas.openxmlformats.org/officeDocument/2006/relationships/table" Target="../tables/table2.xml"/><Relationship Id="rId2" Type="http://schemas.openxmlformats.org/officeDocument/2006/relationships/drawing" Target="../drawings/drawing2.xml"/><Relationship Id="rId16" Type="http://schemas.openxmlformats.org/officeDocument/2006/relationships/table" Target="../tables/table1.xml"/><Relationship Id="rId20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5" Type="http://schemas.openxmlformats.org/officeDocument/2006/relationships/ctrlProp" Target="../ctrlProps/ctrlProp16.xml"/><Relationship Id="rId10" Type="http://schemas.openxmlformats.org/officeDocument/2006/relationships/ctrlProp" Target="../ctrlProps/ctrlProp11.xml"/><Relationship Id="rId19" Type="http://schemas.openxmlformats.org/officeDocument/2006/relationships/table" Target="../tables/table4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13" Type="http://schemas.openxmlformats.org/officeDocument/2006/relationships/table" Target="../tables/table16.xml"/><Relationship Id="rId18" Type="http://schemas.openxmlformats.org/officeDocument/2006/relationships/table" Target="../tables/table21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12" Type="http://schemas.openxmlformats.org/officeDocument/2006/relationships/table" Target="../tables/table15.xml"/><Relationship Id="rId17" Type="http://schemas.openxmlformats.org/officeDocument/2006/relationships/table" Target="../tables/table20.xml"/><Relationship Id="rId2" Type="http://schemas.openxmlformats.org/officeDocument/2006/relationships/table" Target="../tables/table5.xml"/><Relationship Id="rId16" Type="http://schemas.openxmlformats.org/officeDocument/2006/relationships/table" Target="../tables/table19.xml"/><Relationship Id="rId20" Type="http://schemas.openxmlformats.org/officeDocument/2006/relationships/table" Target="../tables/table23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9.xml"/><Relationship Id="rId11" Type="http://schemas.openxmlformats.org/officeDocument/2006/relationships/table" Target="../tables/table14.xml"/><Relationship Id="rId5" Type="http://schemas.openxmlformats.org/officeDocument/2006/relationships/table" Target="../tables/table8.xml"/><Relationship Id="rId15" Type="http://schemas.openxmlformats.org/officeDocument/2006/relationships/table" Target="../tables/table18.xml"/><Relationship Id="rId10" Type="http://schemas.openxmlformats.org/officeDocument/2006/relationships/table" Target="../tables/table13.xml"/><Relationship Id="rId19" Type="http://schemas.openxmlformats.org/officeDocument/2006/relationships/table" Target="../tables/table22.xml"/><Relationship Id="rId4" Type="http://schemas.openxmlformats.org/officeDocument/2006/relationships/table" Target="../tables/table7.xml"/><Relationship Id="rId9" Type="http://schemas.openxmlformats.org/officeDocument/2006/relationships/table" Target="../tables/table12.xml"/><Relationship Id="rId14" Type="http://schemas.openxmlformats.org/officeDocument/2006/relationships/table" Target="../tables/table1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0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13" Type="http://schemas.openxmlformats.org/officeDocument/2006/relationships/ctrlProp" Target="../ctrlProps/ctrlProp28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2.xml"/><Relationship Id="rId12" Type="http://schemas.openxmlformats.org/officeDocument/2006/relationships/ctrlProp" Target="../ctrlProps/ctrlProp27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31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1.xml"/><Relationship Id="rId11" Type="http://schemas.openxmlformats.org/officeDocument/2006/relationships/ctrlProp" Target="../ctrlProps/ctrlProp26.xml"/><Relationship Id="rId5" Type="http://schemas.openxmlformats.org/officeDocument/2006/relationships/image" Target="../media/image4.emf"/><Relationship Id="rId15" Type="http://schemas.openxmlformats.org/officeDocument/2006/relationships/ctrlProp" Target="../ctrlProps/ctrlProp30.xml"/><Relationship Id="rId10" Type="http://schemas.openxmlformats.org/officeDocument/2006/relationships/ctrlProp" Target="../ctrlProps/ctrlProp2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4.xml"/><Relationship Id="rId14" Type="http://schemas.openxmlformats.org/officeDocument/2006/relationships/ctrlProp" Target="../ctrlProps/ctrlProp2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3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3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3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3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0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39.xml"/><Relationship Id="rId12" Type="http://schemas.openxmlformats.org/officeDocument/2006/relationships/comments" Target="../comments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38.xml"/><Relationship Id="rId11" Type="http://schemas.openxmlformats.org/officeDocument/2006/relationships/ctrlProp" Target="../ctrlProps/ctrlProp43.xml"/><Relationship Id="rId5" Type="http://schemas.openxmlformats.org/officeDocument/2006/relationships/ctrlProp" Target="../ctrlProps/ctrlProp37.xml"/><Relationship Id="rId10" Type="http://schemas.openxmlformats.org/officeDocument/2006/relationships/ctrlProp" Target="../ctrlProps/ctrlProp42.xml"/><Relationship Id="rId4" Type="http://schemas.openxmlformats.org/officeDocument/2006/relationships/ctrlProp" Target="../ctrlProps/ctrlProp36.xml"/><Relationship Id="rId9" Type="http://schemas.openxmlformats.org/officeDocument/2006/relationships/ctrlProp" Target="../ctrlProps/ctrlProp4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45.xml"/><Relationship Id="rId4" Type="http://schemas.openxmlformats.org/officeDocument/2006/relationships/ctrlProp" Target="../ctrlProps/ctrlProp4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49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48.xml"/><Relationship Id="rId5" Type="http://schemas.openxmlformats.org/officeDocument/2006/relationships/ctrlProp" Target="../ctrlProps/ctrlProp47.xml"/><Relationship Id="rId4" Type="http://schemas.openxmlformats.org/officeDocument/2006/relationships/ctrlProp" Target="../ctrlProps/ctrlProp4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53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52.xml"/><Relationship Id="rId5" Type="http://schemas.openxmlformats.org/officeDocument/2006/relationships/ctrlProp" Target="../ctrlProps/ctrlProp51.xml"/><Relationship Id="rId4" Type="http://schemas.openxmlformats.org/officeDocument/2006/relationships/ctrlProp" Target="../ctrlProps/ctrlProp50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6.xml"/><Relationship Id="rId13" Type="http://schemas.openxmlformats.org/officeDocument/2006/relationships/ctrlProp" Target="../ctrlProps/ctrlProp61.xml"/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55.xml"/><Relationship Id="rId12" Type="http://schemas.openxmlformats.org/officeDocument/2006/relationships/ctrlProp" Target="../ctrlProps/ctrlProp60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54.xml"/><Relationship Id="rId11" Type="http://schemas.openxmlformats.org/officeDocument/2006/relationships/ctrlProp" Target="../ctrlProps/ctrlProp59.xml"/><Relationship Id="rId5" Type="http://schemas.openxmlformats.org/officeDocument/2006/relationships/image" Target="../media/image6.emf"/><Relationship Id="rId15" Type="http://schemas.openxmlformats.org/officeDocument/2006/relationships/comments" Target="../comments3.xml"/><Relationship Id="rId10" Type="http://schemas.openxmlformats.org/officeDocument/2006/relationships/ctrlProp" Target="../ctrlProps/ctrlProp58.xml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57.xml"/><Relationship Id="rId14" Type="http://schemas.openxmlformats.org/officeDocument/2006/relationships/ctrlProp" Target="../ctrlProps/ctrlProp62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5.xml"/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64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63.xml"/><Relationship Id="rId5" Type="http://schemas.openxmlformats.org/officeDocument/2006/relationships/image" Target="../media/image7.emf"/><Relationship Id="rId4" Type="http://schemas.openxmlformats.org/officeDocument/2006/relationships/control" Target="../activeX/activeX3.xml"/><Relationship Id="rId9" Type="http://schemas.openxmlformats.org/officeDocument/2006/relationships/comments" Target="../comments4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8.xml"/><Relationship Id="rId3" Type="http://schemas.openxmlformats.org/officeDocument/2006/relationships/vmlDrawing" Target="../drawings/vmlDrawing16.vml"/><Relationship Id="rId7" Type="http://schemas.openxmlformats.org/officeDocument/2006/relationships/ctrlProp" Target="../ctrlProps/ctrlProp67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66.xml"/><Relationship Id="rId5" Type="http://schemas.openxmlformats.org/officeDocument/2006/relationships/image" Target="../media/image8.emf"/><Relationship Id="rId4" Type="http://schemas.openxmlformats.org/officeDocument/2006/relationships/control" Target="../activeX/activeX4.xml"/><Relationship Id="rId9" Type="http://schemas.openxmlformats.org/officeDocument/2006/relationships/comments" Target="../comments5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1.xml"/><Relationship Id="rId3" Type="http://schemas.openxmlformats.org/officeDocument/2006/relationships/vmlDrawing" Target="../drawings/vmlDrawing17.vml"/><Relationship Id="rId7" Type="http://schemas.openxmlformats.org/officeDocument/2006/relationships/ctrlProp" Target="../ctrlProps/ctrlProp70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69.xml"/><Relationship Id="rId5" Type="http://schemas.openxmlformats.org/officeDocument/2006/relationships/image" Target="../media/image9.emf"/><Relationship Id="rId4" Type="http://schemas.openxmlformats.org/officeDocument/2006/relationships/control" Target="../activeX/activeX5.xml"/><Relationship Id="rId9" Type="http://schemas.openxmlformats.org/officeDocument/2006/relationships/comments" Target="../comments6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4.xml"/><Relationship Id="rId13" Type="http://schemas.openxmlformats.org/officeDocument/2006/relationships/ctrlProp" Target="../ctrlProps/ctrlProp79.xml"/><Relationship Id="rId3" Type="http://schemas.openxmlformats.org/officeDocument/2006/relationships/vmlDrawing" Target="../drawings/vmlDrawing18.vml"/><Relationship Id="rId7" Type="http://schemas.openxmlformats.org/officeDocument/2006/relationships/ctrlProp" Target="../ctrlProps/ctrlProp73.xml"/><Relationship Id="rId12" Type="http://schemas.openxmlformats.org/officeDocument/2006/relationships/ctrlProp" Target="../ctrlProps/ctrlProp78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72.xml"/><Relationship Id="rId11" Type="http://schemas.openxmlformats.org/officeDocument/2006/relationships/ctrlProp" Target="../ctrlProps/ctrlProp77.xml"/><Relationship Id="rId5" Type="http://schemas.openxmlformats.org/officeDocument/2006/relationships/image" Target="../media/image10.emf"/><Relationship Id="rId15" Type="http://schemas.openxmlformats.org/officeDocument/2006/relationships/comments" Target="../comments7.xml"/><Relationship Id="rId10" Type="http://schemas.openxmlformats.org/officeDocument/2006/relationships/ctrlProp" Target="../ctrlProps/ctrlProp76.xml"/><Relationship Id="rId4" Type="http://schemas.openxmlformats.org/officeDocument/2006/relationships/control" Target="../activeX/activeX6.xml"/><Relationship Id="rId9" Type="http://schemas.openxmlformats.org/officeDocument/2006/relationships/ctrlProp" Target="../ctrlProps/ctrlProp75.xml"/><Relationship Id="rId14" Type="http://schemas.openxmlformats.org/officeDocument/2006/relationships/ctrlProp" Target="../ctrlProps/ctrlProp80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3.xml"/><Relationship Id="rId3" Type="http://schemas.openxmlformats.org/officeDocument/2006/relationships/vmlDrawing" Target="../drawings/vmlDrawing19.vml"/><Relationship Id="rId7" Type="http://schemas.openxmlformats.org/officeDocument/2006/relationships/ctrlProp" Target="../ctrlProps/ctrlProp82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81.xml"/><Relationship Id="rId5" Type="http://schemas.openxmlformats.org/officeDocument/2006/relationships/image" Target="../media/image11.emf"/><Relationship Id="rId4" Type="http://schemas.openxmlformats.org/officeDocument/2006/relationships/control" Target="../activeX/activeX7.xml"/><Relationship Id="rId9" Type="http://schemas.openxmlformats.org/officeDocument/2006/relationships/comments" Target="../comments8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6.xml"/><Relationship Id="rId3" Type="http://schemas.openxmlformats.org/officeDocument/2006/relationships/vmlDrawing" Target="../drawings/vmlDrawing20.vml"/><Relationship Id="rId7" Type="http://schemas.openxmlformats.org/officeDocument/2006/relationships/ctrlProp" Target="../ctrlProps/ctrlProp85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84.xml"/><Relationship Id="rId5" Type="http://schemas.openxmlformats.org/officeDocument/2006/relationships/image" Target="../media/image12.emf"/><Relationship Id="rId4" Type="http://schemas.openxmlformats.org/officeDocument/2006/relationships/control" Target="../activeX/activeX8.xml"/><Relationship Id="rId9" Type="http://schemas.openxmlformats.org/officeDocument/2006/relationships/comments" Target="../comments9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9.xml"/><Relationship Id="rId3" Type="http://schemas.openxmlformats.org/officeDocument/2006/relationships/vmlDrawing" Target="../drawings/vmlDrawing21.vml"/><Relationship Id="rId7" Type="http://schemas.openxmlformats.org/officeDocument/2006/relationships/ctrlProp" Target="../ctrlProps/ctrlProp88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87.xml"/><Relationship Id="rId5" Type="http://schemas.openxmlformats.org/officeDocument/2006/relationships/image" Target="../media/image13.emf"/><Relationship Id="rId4" Type="http://schemas.openxmlformats.org/officeDocument/2006/relationships/control" Target="../activeX/activeX9.xml"/><Relationship Id="rId9" Type="http://schemas.openxmlformats.org/officeDocument/2006/relationships/comments" Target="../comments10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2.xml"/><Relationship Id="rId13" Type="http://schemas.openxmlformats.org/officeDocument/2006/relationships/ctrlProp" Target="../ctrlProps/ctrlProp97.xml"/><Relationship Id="rId3" Type="http://schemas.openxmlformats.org/officeDocument/2006/relationships/vmlDrawing" Target="../drawings/vmlDrawing22.vml"/><Relationship Id="rId7" Type="http://schemas.openxmlformats.org/officeDocument/2006/relationships/ctrlProp" Target="../ctrlProps/ctrlProp91.xml"/><Relationship Id="rId12" Type="http://schemas.openxmlformats.org/officeDocument/2006/relationships/ctrlProp" Target="../ctrlProps/ctrlProp96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90.xml"/><Relationship Id="rId11" Type="http://schemas.openxmlformats.org/officeDocument/2006/relationships/ctrlProp" Target="../ctrlProps/ctrlProp95.xml"/><Relationship Id="rId5" Type="http://schemas.openxmlformats.org/officeDocument/2006/relationships/image" Target="../media/image14.emf"/><Relationship Id="rId15" Type="http://schemas.openxmlformats.org/officeDocument/2006/relationships/comments" Target="../comments11.xml"/><Relationship Id="rId10" Type="http://schemas.openxmlformats.org/officeDocument/2006/relationships/ctrlProp" Target="../ctrlProps/ctrlProp94.xml"/><Relationship Id="rId4" Type="http://schemas.openxmlformats.org/officeDocument/2006/relationships/control" Target="../activeX/activeX10.xml"/><Relationship Id="rId9" Type="http://schemas.openxmlformats.org/officeDocument/2006/relationships/ctrlProp" Target="../ctrlProps/ctrlProp93.xml"/><Relationship Id="rId14" Type="http://schemas.openxmlformats.org/officeDocument/2006/relationships/ctrlProp" Target="../ctrlProps/ctrlProp98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1.xml"/><Relationship Id="rId3" Type="http://schemas.openxmlformats.org/officeDocument/2006/relationships/vmlDrawing" Target="../drawings/vmlDrawing23.vml"/><Relationship Id="rId7" Type="http://schemas.openxmlformats.org/officeDocument/2006/relationships/ctrlProp" Target="../ctrlProps/ctrlProp100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99.xml"/><Relationship Id="rId5" Type="http://schemas.openxmlformats.org/officeDocument/2006/relationships/image" Target="../media/image15.emf"/><Relationship Id="rId4" Type="http://schemas.openxmlformats.org/officeDocument/2006/relationships/control" Target="../activeX/activeX11.xml"/><Relationship Id="rId9" Type="http://schemas.openxmlformats.org/officeDocument/2006/relationships/comments" Target="../comments12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4.xml"/><Relationship Id="rId3" Type="http://schemas.openxmlformats.org/officeDocument/2006/relationships/vmlDrawing" Target="../drawings/vmlDrawing24.vml"/><Relationship Id="rId7" Type="http://schemas.openxmlformats.org/officeDocument/2006/relationships/ctrlProp" Target="../ctrlProps/ctrlProp103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102.xml"/><Relationship Id="rId5" Type="http://schemas.openxmlformats.org/officeDocument/2006/relationships/image" Target="../media/image16.emf"/><Relationship Id="rId4" Type="http://schemas.openxmlformats.org/officeDocument/2006/relationships/control" Target="../activeX/activeX12.xml"/><Relationship Id="rId9" Type="http://schemas.openxmlformats.org/officeDocument/2006/relationships/comments" Target="../comments13.xm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7.xml"/><Relationship Id="rId3" Type="http://schemas.openxmlformats.org/officeDocument/2006/relationships/vmlDrawing" Target="../drawings/vmlDrawing25.vml"/><Relationship Id="rId7" Type="http://schemas.openxmlformats.org/officeDocument/2006/relationships/ctrlProp" Target="../ctrlProps/ctrlProp106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6.bin"/><Relationship Id="rId6" Type="http://schemas.openxmlformats.org/officeDocument/2006/relationships/ctrlProp" Target="../ctrlProps/ctrlProp105.xml"/><Relationship Id="rId5" Type="http://schemas.openxmlformats.org/officeDocument/2006/relationships/image" Target="../media/image17.emf"/><Relationship Id="rId4" Type="http://schemas.openxmlformats.org/officeDocument/2006/relationships/control" Target="../activeX/activeX13.xml"/><Relationship Id="rId9" Type="http://schemas.openxmlformats.org/officeDocument/2006/relationships/comments" Target="../comments14.xml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2.xml"/><Relationship Id="rId3" Type="http://schemas.openxmlformats.org/officeDocument/2006/relationships/vmlDrawing" Target="../drawings/vmlDrawing26.vml"/><Relationship Id="rId7" Type="http://schemas.openxmlformats.org/officeDocument/2006/relationships/ctrlProp" Target="../ctrlProps/ctrlProp111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7.bin"/><Relationship Id="rId6" Type="http://schemas.openxmlformats.org/officeDocument/2006/relationships/ctrlProp" Target="../ctrlProps/ctrlProp110.xml"/><Relationship Id="rId5" Type="http://schemas.openxmlformats.org/officeDocument/2006/relationships/ctrlProp" Target="../ctrlProps/ctrlProp109.xml"/><Relationship Id="rId10" Type="http://schemas.openxmlformats.org/officeDocument/2006/relationships/ctrlProp" Target="../ctrlProps/ctrlProp114.xml"/><Relationship Id="rId4" Type="http://schemas.openxmlformats.org/officeDocument/2006/relationships/ctrlProp" Target="../ctrlProps/ctrlProp108.xml"/><Relationship Id="rId9" Type="http://schemas.openxmlformats.org/officeDocument/2006/relationships/ctrlProp" Target="../ctrlProps/ctrlProp113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0.bin"/><Relationship Id="rId4" Type="http://schemas.openxmlformats.org/officeDocument/2006/relationships/ctrlProp" Target="../ctrlProps/ctrlProp115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8.xml"/><Relationship Id="rId3" Type="http://schemas.openxmlformats.org/officeDocument/2006/relationships/vmlDrawing" Target="../drawings/vmlDrawing28.vml"/><Relationship Id="rId7" Type="http://schemas.openxmlformats.org/officeDocument/2006/relationships/ctrlProp" Target="../ctrlProps/ctrlProp117.xml"/><Relationship Id="rId12" Type="http://schemas.openxmlformats.org/officeDocument/2006/relationships/ctrlProp" Target="../ctrlProps/ctrlProp122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Relationship Id="rId6" Type="http://schemas.openxmlformats.org/officeDocument/2006/relationships/ctrlProp" Target="../ctrlProps/ctrlProp116.xml"/><Relationship Id="rId11" Type="http://schemas.openxmlformats.org/officeDocument/2006/relationships/ctrlProp" Target="../ctrlProps/ctrlProp121.xml"/><Relationship Id="rId5" Type="http://schemas.openxmlformats.org/officeDocument/2006/relationships/image" Target="../media/image18.emf"/><Relationship Id="rId10" Type="http://schemas.openxmlformats.org/officeDocument/2006/relationships/ctrlProp" Target="../ctrlProps/ctrlProp120.xml"/><Relationship Id="rId4" Type="http://schemas.openxmlformats.org/officeDocument/2006/relationships/control" Target="../activeX/activeX14.xml"/><Relationship Id="rId9" Type="http://schemas.openxmlformats.org/officeDocument/2006/relationships/ctrlProp" Target="../ctrlProps/ctrlProp119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Relationship Id="rId4" Type="http://schemas.openxmlformats.org/officeDocument/2006/relationships/ctrlProp" Target="../ctrlProps/ctrlProp123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Relationship Id="rId4" Type="http://schemas.openxmlformats.org/officeDocument/2006/relationships/ctrlProp" Target="../ctrlProps/ctrlProp124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.v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Relationship Id="rId4" Type="http://schemas.openxmlformats.org/officeDocument/2006/relationships/ctrlProp" Target="../ctrlProps/ctrlProp125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Relationship Id="rId4" Type="http://schemas.openxmlformats.org/officeDocument/2006/relationships/ctrlProp" Target="../ctrlProps/ctrlProp126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3.v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Relationship Id="rId4" Type="http://schemas.openxmlformats.org/officeDocument/2006/relationships/ctrlProp" Target="../ctrlProps/ctrlProp127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2.xml"/><Relationship Id="rId3" Type="http://schemas.openxmlformats.org/officeDocument/2006/relationships/vmlDrawing" Target="../drawings/vmlDrawing34.vml"/><Relationship Id="rId7" Type="http://schemas.openxmlformats.org/officeDocument/2006/relationships/ctrlProp" Target="../ctrlProps/ctrlProp131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Relationship Id="rId6" Type="http://schemas.openxmlformats.org/officeDocument/2006/relationships/ctrlProp" Target="../ctrlProps/ctrlProp130.xml"/><Relationship Id="rId11" Type="http://schemas.openxmlformats.org/officeDocument/2006/relationships/comments" Target="../comments15.xml"/><Relationship Id="rId5" Type="http://schemas.openxmlformats.org/officeDocument/2006/relationships/ctrlProp" Target="../ctrlProps/ctrlProp129.xml"/><Relationship Id="rId10" Type="http://schemas.openxmlformats.org/officeDocument/2006/relationships/ctrlProp" Target="../ctrlProps/ctrlProp134.xml"/><Relationship Id="rId4" Type="http://schemas.openxmlformats.org/officeDocument/2006/relationships/ctrlProp" Target="../ctrlProps/ctrlProp128.xml"/><Relationship Id="rId9" Type="http://schemas.openxmlformats.org/officeDocument/2006/relationships/ctrlProp" Target="../ctrlProps/ctrlProp133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5.v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Relationship Id="rId4" Type="http://schemas.openxmlformats.org/officeDocument/2006/relationships/ctrlProp" Target="../ctrlProps/ctrlProp135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6.xml"/><Relationship Id="rId2" Type="http://schemas.openxmlformats.org/officeDocument/2006/relationships/vmlDrawing" Target="../drawings/vmlDrawing36.vml"/><Relationship Id="rId1" Type="http://schemas.openxmlformats.org/officeDocument/2006/relationships/drawing" Target="../drawings/drawing42.xml"/><Relationship Id="rId4" Type="http://schemas.openxmlformats.org/officeDocument/2006/relationships/comments" Target="../comments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DBF1EB-5BA8-482E-8FE3-583413DC5BC1}">
  <sheetPr codeName="Sheet6">
    <tabColor rgb="FFFF0000"/>
  </sheetPr>
  <dimension ref="B1:B39"/>
  <sheetViews>
    <sheetView workbookViewId="0">
      <selection activeCell="B6" sqref="B6"/>
    </sheetView>
  </sheetViews>
  <sheetFormatPr defaultRowHeight="15" x14ac:dyDescent="0.25"/>
  <cols>
    <col min="2" max="2" width="76.140625" customWidth="1"/>
  </cols>
  <sheetData>
    <row r="1" spans="2:2" ht="28.5" x14ac:dyDescent="0.45">
      <c r="B1" s="391" t="s">
        <v>667</v>
      </c>
    </row>
    <row r="3" spans="2:2" x14ac:dyDescent="0.25">
      <c r="B3" s="392" t="s">
        <v>668</v>
      </c>
    </row>
    <row r="5" spans="2:2" x14ac:dyDescent="0.25">
      <c r="B5" s="534" t="s">
        <v>1287</v>
      </c>
    </row>
    <row r="6" spans="2:2" x14ac:dyDescent="0.25">
      <c r="B6" s="534" t="s">
        <v>376</v>
      </c>
    </row>
    <row r="7" spans="2:2" x14ac:dyDescent="0.25">
      <c r="B7" s="534" t="s">
        <v>819</v>
      </c>
    </row>
    <row r="8" spans="2:2" x14ac:dyDescent="0.25">
      <c r="B8" s="534" t="s">
        <v>820</v>
      </c>
    </row>
    <row r="9" spans="2:2" x14ac:dyDescent="0.25">
      <c r="B9" s="621" t="s">
        <v>1113</v>
      </c>
    </row>
    <row r="10" spans="2:2" x14ac:dyDescent="0.25">
      <c r="B10" s="621" t="s">
        <v>1282</v>
      </c>
    </row>
    <row r="11" spans="2:2" x14ac:dyDescent="0.25">
      <c r="B11" s="534" t="s">
        <v>669</v>
      </c>
    </row>
    <row r="12" spans="2:2" x14ac:dyDescent="0.25">
      <c r="B12" s="534" t="s">
        <v>670</v>
      </c>
    </row>
    <row r="13" spans="2:2" ht="13.5" customHeight="1" x14ac:dyDescent="0.25">
      <c r="B13" s="534" t="s">
        <v>671</v>
      </c>
    </row>
    <row r="14" spans="2:2" ht="13.5" customHeight="1" x14ac:dyDescent="0.25">
      <c r="B14" s="534" t="s">
        <v>1114</v>
      </c>
    </row>
    <row r="15" spans="2:2" ht="13.5" customHeight="1" x14ac:dyDescent="0.25">
      <c r="B15" s="534" t="s">
        <v>1285</v>
      </c>
    </row>
    <row r="16" spans="2:2" x14ac:dyDescent="0.25">
      <c r="B16" s="534" t="s">
        <v>672</v>
      </c>
    </row>
    <row r="17" spans="2:2" x14ac:dyDescent="0.25">
      <c r="B17" s="534" t="s">
        <v>673</v>
      </c>
    </row>
    <row r="18" spans="2:2" x14ac:dyDescent="0.25">
      <c r="B18" s="534" t="s">
        <v>1115</v>
      </c>
    </row>
    <row r="19" spans="2:2" x14ac:dyDescent="0.25">
      <c r="B19" s="534" t="s">
        <v>1286</v>
      </c>
    </row>
    <row r="20" spans="2:2" x14ac:dyDescent="0.25">
      <c r="B20" s="534" t="s">
        <v>674</v>
      </c>
    </row>
    <row r="21" spans="2:2" x14ac:dyDescent="0.25">
      <c r="B21" s="534" t="s">
        <v>675</v>
      </c>
    </row>
    <row r="22" spans="2:2" x14ac:dyDescent="0.25">
      <c r="B22" s="534" t="s">
        <v>1116</v>
      </c>
    </row>
    <row r="23" spans="2:2" x14ac:dyDescent="0.25">
      <c r="B23" s="534" t="s">
        <v>1284</v>
      </c>
    </row>
    <row r="24" spans="2:2" x14ac:dyDescent="0.25">
      <c r="B24" s="534" t="s">
        <v>676</v>
      </c>
    </row>
    <row r="25" spans="2:2" x14ac:dyDescent="0.25">
      <c r="B25" s="534" t="s">
        <v>677</v>
      </c>
    </row>
    <row r="26" spans="2:2" x14ac:dyDescent="0.25">
      <c r="B26" s="534" t="s">
        <v>1117</v>
      </c>
    </row>
    <row r="27" spans="2:2" x14ac:dyDescent="0.25">
      <c r="B27" s="534" t="s">
        <v>1283</v>
      </c>
    </row>
    <row r="28" spans="2:2" x14ac:dyDescent="0.25">
      <c r="B28" s="534" t="s">
        <v>825</v>
      </c>
    </row>
    <row r="29" spans="2:2" x14ac:dyDescent="0.25">
      <c r="B29" s="534" t="s">
        <v>826</v>
      </c>
    </row>
    <row r="30" spans="2:2" x14ac:dyDescent="0.25">
      <c r="B30" s="534" t="s">
        <v>828</v>
      </c>
    </row>
    <row r="31" spans="2:2" x14ac:dyDescent="0.25">
      <c r="B31" s="534" t="s">
        <v>827</v>
      </c>
    </row>
    <row r="32" spans="2:2" hidden="1" x14ac:dyDescent="0.25">
      <c r="B32" t="s">
        <v>678</v>
      </c>
    </row>
    <row r="33" spans="2:2" hidden="1" x14ac:dyDescent="0.25">
      <c r="B33" t="s">
        <v>679</v>
      </c>
    </row>
    <row r="34" spans="2:2" hidden="1" x14ac:dyDescent="0.25">
      <c r="B34" t="s">
        <v>680</v>
      </c>
    </row>
    <row r="35" spans="2:2" hidden="1" x14ac:dyDescent="0.25">
      <c r="B35" t="s">
        <v>681</v>
      </c>
    </row>
    <row r="36" spans="2:2" x14ac:dyDescent="0.25">
      <c r="B36" s="534" t="s">
        <v>830</v>
      </c>
    </row>
    <row r="37" spans="2:2" x14ac:dyDescent="0.25">
      <c r="B37" s="534" t="s">
        <v>829</v>
      </c>
    </row>
    <row r="38" spans="2:2" x14ac:dyDescent="0.25">
      <c r="B38" t="s">
        <v>682</v>
      </c>
    </row>
    <row r="39" spans="2:2" x14ac:dyDescent="0.25">
      <c r="B39" s="534" t="s">
        <v>683</v>
      </c>
    </row>
  </sheetData>
  <sheetProtection algorithmName="SHA-512" hashValue="ZvxnDkA0qHhI8f/dSdmF/1xMivhz12HaZhfzo1NXSXwS1zQGxvSB1GsXAatq215CRhDa2B83SVhFIl83neT2Mw==" saltValue="AmkiMIvefjUHJd5jVmj2GA==" spinCount="100000" sheet="1" objects="1" scenarios="1"/>
  <hyperlinks>
    <hyperlink ref="B6" location="'Material Specifications'!A1" display="Material Specifications" xr:uid="{6A21FEAB-5FD6-4C1C-A517-420783AC225B}"/>
    <hyperlink ref="B7" location="'TD,DB,HD (1)'!A1" display="Threading Drive, Drag Brake &amp; Holddown (1)" xr:uid="{032695DD-F12E-4806-8BB5-4A977B54CA95}"/>
    <hyperlink ref="B8" location="'TD,DB,HD (2)'!A1" display="Threading Drive, Drag Brake &amp; Holddown (2)" xr:uid="{72E75F3F-231C-4CDC-8A3D-6EDCD16307A8}"/>
    <hyperlink ref="B12" location="'Str. Utility (1)'!A1" display="Str. Utility (1)" xr:uid="{0C837AD1-CE73-4E27-8E58-82218E0298F0}"/>
    <hyperlink ref="B13" location="'Str. Utility (2)'!A1" display="Str. Utility (2)" xr:uid="{A04FDC2D-8EA5-4804-820D-5CA5F9F9BD1D}"/>
    <hyperlink ref="B16" location="'7 Roll Str. Backbend (1)'!A1" display="7 Roll Str. Backbend (1)" xr:uid="{E66F7330-6BCF-44EE-8BDE-D4EBDD66FCDF}"/>
    <hyperlink ref="B17" location="'7 Roll Str. Backbend (2)'!A1" display="7 Roll Str. Backbend (2)" xr:uid="{9D6044C8-8ED2-4681-9596-B16DE93EA035}"/>
    <hyperlink ref="B11" location="'Reel Drive'!A1" display="Reel Drive" xr:uid="{A8B536E4-B65C-457C-9022-970EE2A3A897}"/>
    <hyperlink ref="B28" location="'Sigma 5 Feed (1)'!A1" display="Sigma 5 Feed (1)" xr:uid="{93EB121B-B794-4A17-8399-C2EAD7625C32}"/>
    <hyperlink ref="B29" location="'Sigma 5 Feed (2)'!A1" display="Sigma 5 Feed (2)" xr:uid="{B7553ABB-6E43-477D-B77D-32DDB5D9E276}"/>
    <hyperlink ref="B39" location="'Equipment Summary'!A1" display="Equipment Summary Page" xr:uid="{B3563B78-4CB1-458E-A4F4-4F58DA6A60A3}"/>
    <hyperlink ref="B30" location="'Sigma 5 Feed With Pull Thru (1)'!A1" display="Sigma 5 Feed with Pull Thru (1)" xr:uid="{C4DEBE7C-0F4E-46F4-A917-4FC4E49D53A4}"/>
    <hyperlink ref="B31" location="'Sigma 5 Feed With Pull Thru (2)'!A1" display="Sigma 5 Feed with Pull Thru (2)" xr:uid="{D3507D6B-B57B-48E3-A359-47DC101FF729}"/>
    <hyperlink ref="B25" location="'11 Roll Str. Backbend (2)'!A1" display="11 Roll Str. Backbend (2)" xr:uid="{34A0BC34-59C6-48B9-800B-B150B9D3DCC2}"/>
    <hyperlink ref="B24" location="'11 Roll Str. Backbend (1)'!A1" display="11 Roll Str. Backbend (1)" xr:uid="{E60448F6-190F-4B9B-9068-335171E5B59C}"/>
    <hyperlink ref="B21" location="'9 Roll Str. Backbend (2)'!A1" display="9 Roll Str. Backbend (2)" xr:uid="{9094AF30-E28F-49B3-BC14-5EC83A9430CE}"/>
    <hyperlink ref="B20" location="'9 Roll Str. Backbend (1)'!A1" display="9 Roll Str. Backbend (1)" xr:uid="{72C07D5D-C555-4B4F-B388-BC2B12652E44}"/>
    <hyperlink ref="B36" location="'Allen Bradley MPL - Feed (1)'!A1" display="Allen Bradley MPL - Feed (1)" xr:uid="{659A3335-1B81-4D25-837B-AB292D3D7B0C}"/>
    <hyperlink ref="B37" location="'Allen Bradley MPL - Feed (2)'!A1" display="Allen Bradley MPL - Feed (2)" xr:uid="{AF468C84-A41B-4D81-A61B-0E71A1B5F669}"/>
    <hyperlink ref="B9" location="'TD,DB,HD (3)'!A1" display="Threading Drive, Drag Brake &amp; Holddown (3)" xr:uid="{98EC9813-432A-4848-9ECD-B7F35FD8BF66}"/>
    <hyperlink ref="B14" location="'Str. Utility (3)'!A1" display="Str. Utility (3)" xr:uid="{EA397D8A-58FC-4F02-8C1E-D3DF70D4E105}"/>
    <hyperlink ref="B18" location="'7 Roll Str. Backbend (3)'!A1" display="7 Roll Str. Backbend (3)" xr:uid="{BD690B07-AB7A-46B7-A972-C49F81BFE320}"/>
    <hyperlink ref="B22" location="'9 Roll Str. Backbend (3)'!A1" display="9 Roll Str. Backbend (3)" xr:uid="{11EC4A03-E13C-4669-AB27-838C934FB5AE}"/>
    <hyperlink ref="B26" location="'11 Roll Str. Backbend (3)'!A1" display="11 Roll Str. Backbend (3)" xr:uid="{5C9ABCE8-3164-4E13-B34D-3E4FBE1382CF}"/>
    <hyperlink ref="B10" location="'TD,DB,HD (4)'!A1" display="Threading Drive, Drag Brake &amp; Holddown (4)" xr:uid="{7716DEBB-A7EC-4BF6-8C28-DE56C8B39732}"/>
    <hyperlink ref="B15" location="'Str. Utility (4)'!A1" display="Str. Utility (4)" xr:uid="{911AC51D-6A24-430B-976F-B2066BCC3F63}"/>
    <hyperlink ref="B23" location="'9 Roll Str. Backbend (4)'!A1" display="9 Roll Str. Backbend (4)" xr:uid="{3A24DB85-D593-4CAD-B60F-B43B3B0FFBA8}"/>
    <hyperlink ref="B27" location="'11 Roll Str. Backbend (4)'!A1" display="11 Roll Str. Backbend (4)" xr:uid="{13D9ADF0-58E2-4B7C-81AB-C7E590E95825}"/>
    <hyperlink ref="B19" location="'7 Roll Str. Backbend (4)'!A1" display="7 Roll Str. Backbend (4)" xr:uid="{B938A9A9-79DD-47A2-99F6-3249F40BBA9D}"/>
    <hyperlink ref="B5" location="RFQ!A1" display="RFQ" xr:uid="{76B8C6F6-DC54-47BA-82E3-B34B1FFF0360}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21" r:id="rId4" name="Button 13">
              <controlPr defaultSize="0" print="0" autoFill="0" autoPict="0" macro="[0]!Go_To_14">
                <anchor moveWithCells="1" sizeWithCells="1">
                  <from>
                    <xdr:col>0</xdr:col>
                    <xdr:colOff>104775</xdr:colOff>
                    <xdr:row>31</xdr:row>
                    <xdr:rowOff>28575</xdr:rowOff>
                  </from>
                  <to>
                    <xdr:col>0</xdr:col>
                    <xdr:colOff>428625</xdr:colOff>
                    <xdr:row>31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5" name="Button 14">
              <controlPr defaultSize="0" print="0" autoFill="0" autoPict="0" macro="[0]!Go_To_15">
                <anchor moveWithCells="1" sizeWithCells="1">
                  <from>
                    <xdr:col>0</xdr:col>
                    <xdr:colOff>104775</xdr:colOff>
                    <xdr:row>32</xdr:row>
                    <xdr:rowOff>28575</xdr:rowOff>
                  </from>
                  <to>
                    <xdr:col>0</xdr:col>
                    <xdr:colOff>428625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6" name="Button 15">
              <controlPr defaultSize="0" print="0" autoFill="0" autoPict="0" macro="[0]!Go_To_16">
                <anchor moveWithCells="1" sizeWithCells="1">
                  <from>
                    <xdr:col>0</xdr:col>
                    <xdr:colOff>104775</xdr:colOff>
                    <xdr:row>33</xdr:row>
                    <xdr:rowOff>28575</xdr:rowOff>
                  </from>
                  <to>
                    <xdr:col>0</xdr:col>
                    <xdr:colOff>428625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7" name="Button 16">
              <controlPr defaultSize="0" print="0" autoFill="0" autoPict="0" macro="[0]!Go_to_17">
                <anchor moveWithCells="1" sizeWithCells="1">
                  <from>
                    <xdr:col>0</xdr:col>
                    <xdr:colOff>104775</xdr:colOff>
                    <xdr:row>34</xdr:row>
                    <xdr:rowOff>28575</xdr:rowOff>
                  </from>
                  <to>
                    <xdr:col>0</xdr:col>
                    <xdr:colOff>428625</xdr:colOff>
                    <xdr:row>34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28C888-75FF-44C5-8311-9EC8ABA20564}">
  <sheetPr codeName="Sheet51">
    <tabColor rgb="FF66FF33"/>
    <pageSetUpPr fitToPage="1"/>
  </sheetPr>
  <dimension ref="A3:AM138"/>
  <sheetViews>
    <sheetView tabSelected="1" zoomScaleNormal="100" workbookViewId="0">
      <selection activeCell="G69" sqref="G69:H69"/>
    </sheetView>
  </sheetViews>
  <sheetFormatPr defaultColWidth="8.7109375" defaultRowHeight="14.25" x14ac:dyDescent="0.2"/>
  <cols>
    <col min="1" max="1" width="5.140625" style="645" customWidth="1"/>
    <col min="2" max="4" width="3.85546875" style="645" customWidth="1"/>
    <col min="5" max="5" width="4" style="645" customWidth="1"/>
    <col min="6" max="6" width="3.85546875" style="645" customWidth="1"/>
    <col min="7" max="8" width="4.28515625" style="645" customWidth="1"/>
    <col min="9" max="9" width="3.7109375" style="645" customWidth="1"/>
    <col min="10" max="10" width="3.42578125" style="645" customWidth="1"/>
    <col min="11" max="27" width="3.85546875" style="645" customWidth="1"/>
    <col min="28" max="28" width="4.28515625" style="645" customWidth="1"/>
    <col min="29" max="30" width="8.7109375" style="652"/>
    <col min="31" max="31" width="30" style="652" hidden="1" customWidth="1"/>
    <col min="32" max="32" width="24.28515625" style="652" hidden="1" customWidth="1"/>
    <col min="33" max="33" width="16.140625" style="652" hidden="1" customWidth="1"/>
    <col min="34" max="34" width="13.7109375" style="652" hidden="1" customWidth="1"/>
    <col min="35" max="37" width="8.7109375" style="652" hidden="1" customWidth="1"/>
    <col min="38" max="38" width="17.28515625" style="652" hidden="1" customWidth="1"/>
    <col min="39" max="39" width="18.5703125" style="645" hidden="1" customWidth="1"/>
    <col min="40" max="16384" width="8.7109375" style="645"/>
  </cols>
  <sheetData>
    <row r="3" spans="1:32" ht="18" x14ac:dyDescent="0.25">
      <c r="F3" s="806" t="str">
        <f>"Request for Quote: " &amp; $G$20 &amp; " Line"</f>
        <v>Request for Quote: Press Feed Line</v>
      </c>
      <c r="G3" s="806"/>
      <c r="H3" s="806"/>
      <c r="I3" s="806"/>
      <c r="J3" s="806"/>
      <c r="K3" s="806"/>
      <c r="L3" s="806"/>
      <c r="M3" s="806"/>
      <c r="N3" s="806"/>
      <c r="O3" s="806"/>
      <c r="P3" s="806"/>
      <c r="Q3" s="806"/>
      <c r="R3" s="806"/>
      <c r="S3" s="806"/>
      <c r="T3" s="806"/>
      <c r="U3" s="806"/>
      <c r="V3" s="806"/>
    </row>
    <row r="4" spans="1:32" ht="14.25" customHeight="1" x14ac:dyDescent="0.2">
      <c r="F4" s="807" t="s">
        <v>1134</v>
      </c>
      <c r="G4" s="807"/>
      <c r="H4" s="807"/>
      <c r="I4" s="807"/>
      <c r="J4" s="807"/>
      <c r="K4" s="807"/>
      <c r="L4" s="807"/>
      <c r="M4" s="807"/>
      <c r="N4" s="807"/>
      <c r="O4" s="807"/>
      <c r="P4" s="807"/>
      <c r="Q4" s="807"/>
      <c r="R4" s="807"/>
      <c r="S4" s="807"/>
      <c r="T4" s="807"/>
      <c r="U4" s="807"/>
      <c r="V4" s="807"/>
      <c r="W4" s="807"/>
    </row>
    <row r="5" spans="1:32" ht="15" customHeight="1" x14ac:dyDescent="0.2">
      <c r="E5" s="646"/>
      <c r="F5" s="807"/>
      <c r="G5" s="807"/>
      <c r="H5" s="807"/>
      <c r="I5" s="807"/>
      <c r="J5" s="807"/>
      <c r="K5" s="807"/>
      <c r="L5" s="807"/>
      <c r="M5" s="807"/>
      <c r="N5" s="807"/>
      <c r="O5" s="807"/>
      <c r="P5" s="807"/>
      <c r="Q5" s="807"/>
      <c r="R5" s="807"/>
      <c r="S5" s="807"/>
      <c r="T5" s="807"/>
      <c r="U5" s="807"/>
      <c r="V5" s="807"/>
      <c r="W5" s="807"/>
    </row>
    <row r="6" spans="1:32" ht="15" customHeight="1" x14ac:dyDescent="0.2">
      <c r="A6" s="647"/>
      <c r="B6" s="647"/>
      <c r="C6" s="647"/>
      <c r="D6" s="647"/>
      <c r="E6" s="647"/>
      <c r="F6" s="647"/>
      <c r="G6" s="647"/>
      <c r="H6" s="647"/>
      <c r="I6" s="647"/>
      <c r="J6" s="647"/>
      <c r="K6" s="647"/>
      <c r="L6" s="647"/>
      <c r="M6" s="647"/>
      <c r="N6" s="647"/>
      <c r="O6" s="647"/>
      <c r="P6" s="647"/>
      <c r="Q6" s="647"/>
      <c r="R6" s="647"/>
      <c r="S6" s="647"/>
      <c r="T6" s="647"/>
      <c r="U6" s="647"/>
      <c r="V6" s="647"/>
      <c r="W6" s="648"/>
    </row>
    <row r="7" spans="1:32" ht="14.25" customHeight="1" x14ac:dyDescent="0.2">
      <c r="A7" s="647"/>
      <c r="B7" s="647"/>
      <c r="C7" s="647"/>
      <c r="D7" s="647"/>
      <c r="E7" s="647"/>
      <c r="F7" s="647"/>
      <c r="G7" s="647"/>
      <c r="H7" s="647"/>
      <c r="I7" s="647"/>
      <c r="J7" s="647"/>
      <c r="K7" s="647"/>
      <c r="L7" s="647"/>
      <c r="M7" s="647"/>
      <c r="N7" s="647"/>
      <c r="O7" s="647"/>
      <c r="P7" s="647"/>
      <c r="Q7" s="647"/>
      <c r="R7" s="647"/>
      <c r="S7" s="647"/>
      <c r="T7" s="647"/>
      <c r="U7" s="647"/>
      <c r="V7" s="647"/>
      <c r="W7" s="784" t="s">
        <v>1135</v>
      </c>
      <c r="X7" s="784"/>
      <c r="Y7" s="808"/>
      <c r="Z7" s="809"/>
      <c r="AA7" s="810"/>
    </row>
    <row r="8" spans="1:32" ht="14.25" customHeight="1" x14ac:dyDescent="0.2">
      <c r="A8" s="649"/>
      <c r="B8" s="650"/>
      <c r="C8" s="650"/>
      <c r="D8" s="650"/>
      <c r="E8" s="650"/>
      <c r="F8" s="650"/>
      <c r="G8" s="650"/>
      <c r="H8" s="650"/>
      <c r="I8" s="650"/>
      <c r="J8" s="650"/>
      <c r="K8" s="650"/>
      <c r="L8" s="650"/>
      <c r="M8" s="651"/>
      <c r="N8" s="650"/>
      <c r="O8" s="650"/>
      <c r="P8" s="650"/>
      <c r="Q8" s="650"/>
      <c r="R8" s="650"/>
      <c r="S8" s="650"/>
      <c r="T8" s="650"/>
      <c r="U8" s="650"/>
      <c r="V8" s="650"/>
      <c r="Y8" s="811" t="s">
        <v>1136</v>
      </c>
      <c r="Z8" s="811"/>
      <c r="AA8" s="811"/>
    </row>
    <row r="9" spans="1:32" ht="14.25" customHeight="1" x14ac:dyDescent="0.2">
      <c r="A9" s="784" t="s">
        <v>1137</v>
      </c>
      <c r="B9" s="784"/>
      <c r="C9" s="784"/>
      <c r="D9" s="784"/>
      <c r="E9" s="796"/>
      <c r="F9" s="797" t="s">
        <v>1698</v>
      </c>
      <c r="G9" s="798"/>
      <c r="H9" s="798"/>
      <c r="I9" s="798"/>
      <c r="J9" s="798"/>
      <c r="K9" s="798"/>
      <c r="L9" s="798"/>
      <c r="M9" s="799"/>
      <c r="N9" s="800" t="s">
        <v>1138</v>
      </c>
      <c r="O9" s="784"/>
      <c r="P9" s="784"/>
      <c r="Q9" s="784"/>
      <c r="R9" s="796"/>
      <c r="S9" s="812" t="s">
        <v>1701</v>
      </c>
      <c r="T9" s="812"/>
      <c r="U9" s="812"/>
      <c r="V9" s="812"/>
      <c r="W9" s="812"/>
      <c r="X9" s="812"/>
      <c r="Y9" s="812"/>
      <c r="Z9" s="812"/>
      <c r="AA9" s="812"/>
    </row>
    <row r="10" spans="1:32" s="652" customFormat="1" ht="14.25" customHeight="1" x14ac:dyDescent="0.15">
      <c r="A10" s="784" t="s">
        <v>1139</v>
      </c>
      <c r="B10" s="784"/>
      <c r="C10" s="784"/>
      <c r="D10" s="784"/>
      <c r="E10" s="796"/>
      <c r="F10" s="797" t="s">
        <v>1699</v>
      </c>
      <c r="G10" s="798"/>
      <c r="H10" s="798"/>
      <c r="I10" s="798"/>
      <c r="J10" s="798"/>
      <c r="K10" s="798"/>
      <c r="L10" s="798"/>
      <c r="M10" s="799"/>
      <c r="N10" s="800" t="s">
        <v>1140</v>
      </c>
      <c r="O10" s="784"/>
      <c r="P10" s="784"/>
      <c r="Q10" s="784"/>
      <c r="R10" s="796"/>
      <c r="S10" s="801">
        <v>54936</v>
      </c>
      <c r="T10" s="802"/>
      <c r="U10" s="802"/>
      <c r="V10" s="802"/>
      <c r="W10" s="802"/>
      <c r="X10" s="802"/>
      <c r="Y10" s="802"/>
      <c r="Z10" s="802"/>
      <c r="AA10" s="802"/>
    </row>
    <row r="11" spans="1:32" s="652" customFormat="1" ht="14.25" customHeight="1" x14ac:dyDescent="0.15">
      <c r="A11" s="784" t="s">
        <v>1141</v>
      </c>
      <c r="B11" s="784"/>
      <c r="C11" s="784"/>
      <c r="D11" s="784"/>
      <c r="E11" s="796"/>
      <c r="F11" s="797" t="s">
        <v>1700</v>
      </c>
      <c r="G11" s="798"/>
      <c r="H11" s="798"/>
      <c r="I11" s="798"/>
      <c r="J11" s="798"/>
      <c r="K11" s="798"/>
      <c r="L11" s="798"/>
      <c r="M11" s="799"/>
      <c r="N11" s="800" t="s">
        <v>1142</v>
      </c>
      <c r="O11" s="784"/>
      <c r="P11" s="784"/>
      <c r="Q11" s="784"/>
      <c r="R11" s="784"/>
      <c r="S11" s="803" t="s">
        <v>1702</v>
      </c>
      <c r="T11" s="804"/>
      <c r="U11" s="804"/>
      <c r="V11" s="804"/>
      <c r="W11" s="804"/>
      <c r="X11" s="804"/>
      <c r="Y11" s="804"/>
      <c r="Z11" s="804"/>
      <c r="AA11" s="805"/>
    </row>
    <row r="12" spans="1:32" s="652" customFormat="1" ht="14.25" customHeight="1" x14ac:dyDescent="0.15">
      <c r="A12" s="653"/>
      <c r="B12" s="653"/>
      <c r="C12" s="653"/>
      <c r="AE12" s="652" t="str" cm="1">
        <f t="array" ref="AE12">IF(_xlfn.XLOOKUP($G$21, tblPullThru[LineType], tblPullThru[PullThruAllowed], "", 0, 1) = "Yes", PullThroughAllowed, PullThroughInvalid)</f>
        <v>No</v>
      </c>
    </row>
    <row r="13" spans="1:32" s="652" customFormat="1" ht="14.25" customHeight="1" x14ac:dyDescent="0.15">
      <c r="A13" s="784" t="s">
        <v>1143</v>
      </c>
      <c r="B13" s="784"/>
      <c r="C13" s="784"/>
      <c r="D13" s="784"/>
      <c r="E13" s="796"/>
      <c r="F13" s="797" t="s">
        <v>1703</v>
      </c>
      <c r="G13" s="798"/>
      <c r="H13" s="798"/>
      <c r="I13" s="798"/>
      <c r="J13" s="798"/>
      <c r="K13" s="798"/>
      <c r="L13" s="798"/>
      <c r="M13" s="799"/>
      <c r="N13" s="800" t="s">
        <v>1144</v>
      </c>
      <c r="O13" s="784"/>
      <c r="P13" s="784"/>
      <c r="Q13" s="784"/>
      <c r="R13" s="796"/>
      <c r="S13" s="815" t="s">
        <v>1705</v>
      </c>
      <c r="T13" s="815"/>
      <c r="U13" s="815"/>
      <c r="V13" s="815"/>
      <c r="W13" s="815"/>
      <c r="X13" s="815"/>
      <c r="Y13" s="815"/>
      <c r="Z13" s="815"/>
      <c r="AA13" s="815"/>
    </row>
    <row r="14" spans="1:32" s="652" customFormat="1" ht="14.25" customHeight="1" x14ac:dyDescent="0.15">
      <c r="A14" s="784" t="s">
        <v>1145</v>
      </c>
      <c r="B14" s="784"/>
      <c r="C14" s="784"/>
      <c r="D14" s="784"/>
      <c r="E14" s="784"/>
      <c r="F14" s="816" t="s">
        <v>1704</v>
      </c>
      <c r="G14" s="817"/>
      <c r="H14" s="817"/>
      <c r="I14" s="817"/>
      <c r="J14" s="817"/>
      <c r="K14" s="817"/>
      <c r="L14" s="817"/>
      <c r="M14" s="818"/>
      <c r="N14" s="800" t="s">
        <v>1146</v>
      </c>
      <c r="O14" s="784"/>
      <c r="P14" s="784"/>
      <c r="Q14" s="784"/>
      <c r="R14" s="796"/>
      <c r="S14" s="819" t="s">
        <v>1706</v>
      </c>
      <c r="T14" s="815"/>
      <c r="U14" s="815"/>
      <c r="V14" s="815"/>
      <c r="W14" s="815"/>
      <c r="X14" s="815"/>
      <c r="Y14" s="815"/>
      <c r="Z14" s="815"/>
      <c r="AA14" s="815"/>
      <c r="AE14" s="652" t="s">
        <v>1301</v>
      </c>
      <c r="AF14" s="652" t="s">
        <v>1289</v>
      </c>
    </row>
    <row r="15" spans="1:32" s="652" customFormat="1" ht="14.25" customHeight="1" x14ac:dyDescent="0.15">
      <c r="A15" s="744"/>
      <c r="B15" s="744"/>
      <c r="C15" s="744"/>
      <c r="D15" s="744"/>
      <c r="E15" s="744"/>
      <c r="F15" s="756"/>
      <c r="G15" s="756"/>
      <c r="H15" s="756"/>
      <c r="I15" s="756"/>
      <c r="J15" s="756"/>
      <c r="K15" s="756"/>
      <c r="L15" s="756"/>
      <c r="M15" s="756"/>
      <c r="N15" s="744"/>
      <c r="O15" s="744"/>
      <c r="P15" s="744"/>
      <c r="Q15" s="744"/>
      <c r="R15" s="744"/>
      <c r="S15" s="757"/>
      <c r="T15" s="757"/>
      <c r="U15" s="757"/>
      <c r="V15" s="757"/>
      <c r="W15" s="757"/>
      <c r="X15" s="757"/>
      <c r="Y15" s="757"/>
      <c r="Z15" s="757"/>
      <c r="AA15" s="757"/>
      <c r="AE15" s="652" t="s">
        <v>1289</v>
      </c>
    </row>
    <row r="16" spans="1:32" s="652" customFormat="1" ht="14.25" customHeight="1" x14ac:dyDescent="0.25">
      <c r="A16" s="784" t="s">
        <v>1256</v>
      </c>
      <c r="B16" s="864"/>
      <c r="C16" s="864"/>
      <c r="D16" s="864"/>
      <c r="E16" s="864"/>
      <c r="F16" s="797" t="s">
        <v>1707</v>
      </c>
      <c r="G16" s="798"/>
      <c r="H16" s="798"/>
      <c r="I16" s="798"/>
      <c r="J16" s="798"/>
      <c r="K16" s="798"/>
      <c r="L16" s="798"/>
      <c r="M16" s="799"/>
      <c r="N16" s="784" t="s">
        <v>1257</v>
      </c>
      <c r="O16" s="784"/>
      <c r="P16" s="784"/>
      <c r="Q16" s="784"/>
      <c r="R16" s="784"/>
      <c r="S16" s="797" t="s">
        <v>1708</v>
      </c>
      <c r="T16" s="798"/>
      <c r="U16" s="798"/>
      <c r="V16" s="798"/>
      <c r="W16" s="798"/>
      <c r="X16" s="798"/>
      <c r="Y16" s="798"/>
      <c r="Z16" s="798"/>
      <c r="AA16" s="799"/>
    </row>
    <row r="17" spans="1:39" s="652" customFormat="1" ht="13.5" customHeight="1" x14ac:dyDescent="0.15">
      <c r="A17" s="653"/>
      <c r="B17" s="653"/>
      <c r="C17" s="653"/>
      <c r="D17" s="653"/>
      <c r="E17" s="653"/>
      <c r="G17" s="653"/>
      <c r="H17" s="653"/>
      <c r="I17" s="653"/>
      <c r="J17" s="653"/>
      <c r="K17" s="653"/>
      <c r="L17" s="653"/>
      <c r="M17" s="653"/>
      <c r="O17" s="653"/>
      <c r="P17" s="653"/>
      <c r="Q17" s="653"/>
      <c r="R17" s="653"/>
      <c r="S17" s="653"/>
      <c r="T17" s="653"/>
      <c r="U17" s="653"/>
      <c r="V17" s="653"/>
      <c r="W17" s="653"/>
      <c r="X17" s="653"/>
      <c r="Y17" s="653"/>
      <c r="Z17" s="653"/>
      <c r="AE17" s="652" t="s">
        <v>1334</v>
      </c>
      <c r="AF17" s="652" t="s">
        <v>439</v>
      </c>
      <c r="AG17" s="652" t="s">
        <v>515</v>
      </c>
      <c r="AH17" s="652" t="s">
        <v>1331</v>
      </c>
      <c r="AL17" s="652" t="s">
        <v>1332</v>
      </c>
      <c r="AM17" s="652" t="s">
        <v>1333</v>
      </c>
    </row>
    <row r="18" spans="1:39" s="652" customFormat="1" ht="13.5" customHeight="1" x14ac:dyDescent="0.15">
      <c r="A18" s="784" t="s">
        <v>1147</v>
      </c>
      <c r="B18" s="784"/>
      <c r="C18" s="784"/>
      <c r="D18" s="784"/>
      <c r="E18" s="784"/>
      <c r="F18" s="784"/>
      <c r="G18" s="784"/>
      <c r="H18" s="784"/>
      <c r="I18" s="784"/>
      <c r="J18" s="784"/>
      <c r="K18" s="784"/>
      <c r="L18" s="784"/>
      <c r="M18" s="654">
        <v>6</v>
      </c>
      <c r="N18" s="800" t="s">
        <v>1148</v>
      </c>
      <c r="O18" s="784"/>
      <c r="P18" s="784"/>
      <c r="Q18" s="784"/>
      <c r="R18" s="784"/>
      <c r="S18" s="784"/>
      <c r="T18" s="784"/>
      <c r="U18" s="784"/>
      <c r="V18" s="784"/>
      <c r="W18" s="784"/>
      <c r="X18" s="784"/>
      <c r="Y18" s="784"/>
      <c r="Z18" s="796"/>
      <c r="AA18" s="678">
        <v>3</v>
      </c>
      <c r="AE18" s="652" t="s">
        <v>1149</v>
      </c>
      <c r="AF18" s="652" t="s">
        <v>951</v>
      </c>
      <c r="AG18" s="652" t="s">
        <v>951</v>
      </c>
      <c r="AH18" s="664" t="s">
        <v>1291</v>
      </c>
      <c r="AL18" s="664" t="s">
        <v>952</v>
      </c>
      <c r="AM18" s="664" t="s">
        <v>1301</v>
      </c>
    </row>
    <row r="19" spans="1:39" s="652" customFormat="1" ht="13.5" customHeight="1" x14ac:dyDescent="0.15">
      <c r="A19" s="744"/>
      <c r="B19" s="744"/>
      <c r="C19" s="744"/>
      <c r="D19" s="744"/>
      <c r="E19" s="744"/>
      <c r="F19" s="744"/>
      <c r="G19" s="744"/>
      <c r="H19" s="744"/>
      <c r="I19" s="744"/>
      <c r="J19" s="744"/>
      <c r="K19" s="744"/>
      <c r="L19" s="744"/>
      <c r="M19" s="655"/>
      <c r="N19" s="744"/>
      <c r="O19" s="744"/>
      <c r="P19" s="744"/>
      <c r="Q19" s="744"/>
      <c r="R19" s="744"/>
      <c r="S19" s="744"/>
      <c r="T19" s="744"/>
      <c r="U19" s="744"/>
      <c r="V19" s="744"/>
      <c r="W19" s="744"/>
      <c r="X19" s="744"/>
      <c r="Y19" s="744"/>
      <c r="Z19" s="744"/>
      <c r="AA19" s="656"/>
      <c r="AE19" s="652" t="s">
        <v>1150</v>
      </c>
      <c r="AF19" s="652" t="s">
        <v>952</v>
      </c>
      <c r="AG19" s="652" t="s">
        <v>952</v>
      </c>
      <c r="AH19" s="664" t="s">
        <v>1292</v>
      </c>
      <c r="AL19" s="664" t="s">
        <v>951</v>
      </c>
      <c r="AM19" s="664" t="s">
        <v>1289</v>
      </c>
    </row>
    <row r="20" spans="1:39" s="652" customFormat="1" ht="13.5" customHeight="1" x14ac:dyDescent="0.25">
      <c r="A20" s="784" t="s">
        <v>1241</v>
      </c>
      <c r="B20" s="784"/>
      <c r="C20" s="784"/>
      <c r="D20" s="784"/>
      <c r="E20" s="784"/>
      <c r="F20" s="784"/>
      <c r="G20" s="820" t="s">
        <v>439</v>
      </c>
      <c r="H20" s="821"/>
      <c r="I20" s="821"/>
      <c r="J20" s="821"/>
      <c r="K20" s="821"/>
      <c r="L20" s="821"/>
      <c r="M20" s="821"/>
      <c r="N20" s="822"/>
      <c r="AE20" s="652" t="s">
        <v>1273</v>
      </c>
      <c r="AH20" s="664" t="s">
        <v>1454</v>
      </c>
      <c r="AL20" s="664" t="s">
        <v>1291</v>
      </c>
      <c r="AM20" s="664" t="s">
        <v>1301</v>
      </c>
    </row>
    <row r="21" spans="1:39" s="652" customFormat="1" ht="13.5" customHeight="1" x14ac:dyDescent="0.25">
      <c r="A21" s="784" t="s">
        <v>1242</v>
      </c>
      <c r="B21" s="784"/>
      <c r="C21" s="784"/>
      <c r="D21" s="784"/>
      <c r="E21" s="784"/>
      <c r="F21" s="784"/>
      <c r="G21" s="820" t="s">
        <v>951</v>
      </c>
      <c r="H21" s="821"/>
      <c r="I21" s="821"/>
      <c r="J21" s="821"/>
      <c r="K21" s="821"/>
      <c r="L21" s="821"/>
      <c r="M21" s="821"/>
      <c r="N21" s="822"/>
      <c r="AE21" s="652" t="s">
        <v>1272</v>
      </c>
      <c r="AH21" s="664" t="s">
        <v>1455</v>
      </c>
      <c r="AL21" s="664" t="s">
        <v>1307</v>
      </c>
      <c r="AM21" s="664" t="s">
        <v>1301</v>
      </c>
    </row>
    <row r="22" spans="1:39" s="652" customFormat="1" ht="13.5" customHeight="1" x14ac:dyDescent="0.25">
      <c r="A22" s="784" t="s">
        <v>1243</v>
      </c>
      <c r="B22" s="784"/>
      <c r="C22" s="784"/>
      <c r="D22" s="784"/>
      <c r="E22" s="784"/>
      <c r="F22" s="784"/>
      <c r="G22" s="820" t="s">
        <v>1289</v>
      </c>
      <c r="H22" s="821"/>
      <c r="I22" s="821"/>
      <c r="J22" s="821"/>
      <c r="K22" s="821"/>
      <c r="L22" s="821"/>
      <c r="M22" s="821"/>
      <c r="N22" s="822"/>
      <c r="AE22" s="652" t="s">
        <v>1153</v>
      </c>
      <c r="AH22" s="664" t="s">
        <v>1226</v>
      </c>
      <c r="AL22" s="664" t="s">
        <v>1118</v>
      </c>
      <c r="AM22" s="664" t="s">
        <v>1301</v>
      </c>
    </row>
    <row r="23" spans="1:39" s="652" customFormat="1" ht="13.5" customHeight="1" x14ac:dyDescent="0.15">
      <c r="A23" s="653"/>
      <c r="B23" s="653"/>
      <c r="C23" s="653"/>
      <c r="D23" s="653"/>
      <c r="E23" s="653"/>
      <c r="F23" s="653"/>
      <c r="G23" s="653"/>
      <c r="H23" s="653"/>
      <c r="I23" s="653"/>
      <c r="J23" s="653"/>
      <c r="K23" s="653"/>
      <c r="L23" s="653"/>
      <c r="M23" s="653"/>
      <c r="N23" s="653"/>
      <c r="O23" s="653"/>
      <c r="P23" s="653"/>
      <c r="Q23" s="653"/>
      <c r="R23" s="653"/>
      <c r="S23" s="653"/>
      <c r="T23" s="653"/>
      <c r="U23" s="653"/>
      <c r="V23" s="653"/>
      <c r="AE23" s="652" t="s">
        <v>1152</v>
      </c>
      <c r="AH23" s="664" t="s">
        <v>1118</v>
      </c>
      <c r="AL23" s="664" t="s">
        <v>1454</v>
      </c>
      <c r="AM23" s="664" t="s">
        <v>1289</v>
      </c>
    </row>
    <row r="24" spans="1:39" s="652" customFormat="1" ht="13.5" customHeight="1" x14ac:dyDescent="0.15">
      <c r="A24" s="784" t="s">
        <v>1279</v>
      </c>
      <c r="B24" s="784"/>
      <c r="C24" s="784"/>
      <c r="D24" s="784"/>
      <c r="E24" s="784"/>
      <c r="F24" s="784"/>
      <c r="AE24" s="652" t="s">
        <v>1151</v>
      </c>
      <c r="AH24" s="664" t="s">
        <v>1307</v>
      </c>
      <c r="AL24" s="664" t="s">
        <v>1455</v>
      </c>
      <c r="AM24" s="664" t="s">
        <v>1289</v>
      </c>
    </row>
    <row r="25" spans="1:39" s="652" customFormat="1" ht="13.5" customHeight="1" x14ac:dyDescent="0.15">
      <c r="A25" s="785" t="s">
        <v>1154</v>
      </c>
      <c r="B25" s="785"/>
      <c r="C25" s="785"/>
      <c r="D25" s="785"/>
      <c r="E25" s="785"/>
      <c r="F25" s="786"/>
      <c r="G25" s="790">
        <v>42</v>
      </c>
      <c r="H25" s="790"/>
      <c r="I25" s="790"/>
      <c r="K25" s="658"/>
      <c r="N25" s="785" t="s">
        <v>1155</v>
      </c>
      <c r="O25" s="785"/>
      <c r="P25" s="785"/>
      <c r="Q25" s="785"/>
      <c r="R25" s="785"/>
      <c r="S25" s="786"/>
      <c r="T25" s="787">
        <v>20</v>
      </c>
      <c r="U25" s="788"/>
      <c r="V25" s="789"/>
      <c r="AE25" s="652" t="s">
        <v>1224</v>
      </c>
      <c r="AH25" s="664" t="s">
        <v>1290</v>
      </c>
      <c r="AL25" s="664" t="s">
        <v>1292</v>
      </c>
      <c r="AM25" s="664" t="s">
        <v>1289</v>
      </c>
    </row>
    <row r="26" spans="1:39" s="652" customFormat="1" ht="13.5" customHeight="1" x14ac:dyDescent="0.15">
      <c r="A26" s="785" t="s">
        <v>1156</v>
      </c>
      <c r="B26" s="785"/>
      <c r="C26" s="785"/>
      <c r="D26" s="785"/>
      <c r="E26" s="785"/>
      <c r="F26" s="786"/>
      <c r="G26" s="790">
        <v>16</v>
      </c>
      <c r="H26" s="790"/>
      <c r="I26" s="790"/>
      <c r="L26" s="785" t="s">
        <v>1157</v>
      </c>
      <c r="M26" s="785"/>
      <c r="N26" s="785"/>
      <c r="O26" s="785"/>
      <c r="P26" s="785"/>
      <c r="Q26" s="785"/>
      <c r="R26" s="785"/>
      <c r="S26" s="786"/>
      <c r="T26" s="787">
        <v>20000</v>
      </c>
      <c r="U26" s="788"/>
      <c r="V26" s="789"/>
      <c r="AE26" s="652" t="s">
        <v>1265</v>
      </c>
      <c r="AL26" s="664" t="s">
        <v>1226</v>
      </c>
      <c r="AM26" s="664" t="s">
        <v>1289</v>
      </c>
    </row>
    <row r="27" spans="1:39" s="652" customFormat="1" ht="13.5" customHeight="1" x14ac:dyDescent="0.15">
      <c r="A27" s="785" t="s">
        <v>1158</v>
      </c>
      <c r="B27" s="785"/>
      <c r="C27" s="785"/>
      <c r="D27" s="785"/>
      <c r="E27" s="785"/>
      <c r="F27" s="786"/>
      <c r="G27" s="790">
        <v>72</v>
      </c>
      <c r="H27" s="790"/>
      <c r="I27" s="790"/>
      <c r="L27" s="785" t="s">
        <v>1159</v>
      </c>
      <c r="M27" s="785"/>
      <c r="N27" s="785"/>
      <c r="O27" s="785"/>
      <c r="P27" s="785"/>
      <c r="Q27" s="785"/>
      <c r="R27" s="785"/>
      <c r="S27" s="786"/>
      <c r="T27" s="791">
        <v>40000</v>
      </c>
      <c r="U27" s="792"/>
      <c r="V27" s="793"/>
      <c r="AE27" s="652" t="s">
        <v>1223</v>
      </c>
      <c r="AL27" s="664" t="s">
        <v>1290</v>
      </c>
      <c r="AM27" s="664" t="s">
        <v>1289</v>
      </c>
    </row>
    <row r="28" spans="1:39" s="652" customFormat="1" ht="13.5" customHeight="1" x14ac:dyDescent="0.15">
      <c r="A28" s="658"/>
      <c r="B28" s="658"/>
      <c r="C28" s="658"/>
      <c r="D28" s="658"/>
      <c r="E28" s="658"/>
      <c r="F28" s="658"/>
      <c r="G28" s="658"/>
      <c r="H28" s="658"/>
      <c r="I28" s="658"/>
      <c r="L28" s="658"/>
      <c r="M28" s="658"/>
      <c r="N28" s="658"/>
      <c r="O28" s="658"/>
      <c r="P28" s="658"/>
      <c r="Q28" s="658"/>
      <c r="R28" s="658"/>
      <c r="S28" s="658"/>
      <c r="T28" s="659"/>
      <c r="U28" s="659"/>
      <c r="V28" s="659"/>
    </row>
    <row r="29" spans="1:39" s="652" customFormat="1" ht="13.5" customHeight="1" x14ac:dyDescent="0.15">
      <c r="A29" s="658"/>
      <c r="B29" s="661" t="s">
        <v>1275</v>
      </c>
      <c r="C29" s="658"/>
      <c r="D29" s="658"/>
      <c r="E29" s="658"/>
      <c r="F29" s="658"/>
      <c r="G29" s="658"/>
      <c r="H29" s="658"/>
      <c r="I29" s="658"/>
      <c r="L29" s="658"/>
      <c r="M29" s="681"/>
      <c r="N29" s="653" t="s">
        <v>1276</v>
      </c>
      <c r="P29" s="653"/>
      <c r="Q29" s="653"/>
      <c r="R29" s="653"/>
      <c r="S29" s="679"/>
      <c r="T29" s="680" t="s">
        <v>1277</v>
      </c>
      <c r="U29" s="680"/>
      <c r="V29" s="680"/>
      <c r="W29" s="653"/>
      <c r="X29" s="653"/>
      <c r="Y29" s="653"/>
      <c r="Z29" s="653"/>
      <c r="AA29" s="653"/>
    </row>
    <row r="30" spans="1:39" s="652" customFormat="1" ht="13.5" customHeight="1" x14ac:dyDescent="0.15">
      <c r="A30" s="658"/>
      <c r="B30" s="658"/>
      <c r="C30" s="658"/>
      <c r="D30" s="658"/>
      <c r="E30" s="658"/>
      <c r="F30" s="658"/>
      <c r="G30" s="658"/>
      <c r="H30" s="658"/>
      <c r="I30" s="658"/>
      <c r="L30" s="658"/>
      <c r="M30" s="658"/>
      <c r="N30" s="658"/>
      <c r="O30" s="658"/>
      <c r="P30" s="658"/>
      <c r="Q30" s="658"/>
      <c r="R30" s="658"/>
      <c r="S30" s="658"/>
      <c r="T30" s="659"/>
      <c r="U30" s="659"/>
      <c r="V30" s="659"/>
    </row>
    <row r="31" spans="1:39" s="652" customFormat="1" ht="13.5" customHeight="1" x14ac:dyDescent="0.15">
      <c r="A31" s="658"/>
      <c r="B31" s="784" t="s">
        <v>1336</v>
      </c>
      <c r="C31" s="784"/>
      <c r="D31" s="784"/>
      <c r="E31" s="784"/>
      <c r="F31" s="784"/>
      <c r="G31" s="784"/>
      <c r="H31" s="784"/>
      <c r="I31" s="784"/>
      <c r="J31" s="784"/>
      <c r="K31" s="784"/>
      <c r="L31" s="784"/>
      <c r="M31" s="784"/>
      <c r="N31" s="784"/>
      <c r="O31" s="784"/>
      <c r="P31" s="784"/>
      <c r="Q31" s="794" t="s">
        <v>1289</v>
      </c>
      <c r="R31" s="795"/>
      <c r="S31" s="658"/>
      <c r="T31" s="659"/>
      <c r="U31" s="659"/>
      <c r="V31" s="659"/>
    </row>
    <row r="32" spans="1:39" s="652" customFormat="1" ht="13.5" customHeight="1" x14ac:dyDescent="0.15">
      <c r="A32" s="658"/>
      <c r="B32" s="658"/>
      <c r="C32" s="658"/>
      <c r="D32" s="658"/>
      <c r="E32" s="658"/>
      <c r="F32" s="658"/>
      <c r="G32" s="658"/>
      <c r="H32" s="658"/>
      <c r="I32" s="658"/>
      <c r="L32" s="658"/>
      <c r="M32" s="658"/>
      <c r="N32" s="658"/>
      <c r="O32" s="658"/>
      <c r="P32" s="658"/>
      <c r="Q32" s="658"/>
      <c r="R32" s="658"/>
      <c r="S32" s="658"/>
      <c r="T32" s="659"/>
      <c r="U32" s="659"/>
      <c r="V32" s="659"/>
    </row>
    <row r="33" spans="1:32" s="652" customFormat="1" ht="13.5" customHeight="1" x14ac:dyDescent="0.15">
      <c r="A33" s="658"/>
      <c r="B33" s="784" t="s">
        <v>1441</v>
      </c>
      <c r="C33" s="784"/>
      <c r="D33" s="784"/>
      <c r="E33" s="784"/>
      <c r="F33" s="784"/>
      <c r="G33" s="784"/>
      <c r="H33" s="784"/>
      <c r="I33" s="784"/>
      <c r="J33" s="784"/>
      <c r="K33" s="784"/>
      <c r="L33" s="784"/>
      <c r="M33" s="784"/>
      <c r="N33" s="784"/>
      <c r="O33" s="784"/>
      <c r="P33" s="784"/>
      <c r="Q33" s="787" t="s">
        <v>1289</v>
      </c>
      <c r="R33" s="789"/>
      <c r="V33" s="758"/>
    </row>
    <row r="34" spans="1:32" s="652" customFormat="1" ht="13.5" customHeight="1" x14ac:dyDescent="0.15">
      <c r="A34" s="658"/>
      <c r="B34" s="744"/>
      <c r="C34" s="744"/>
      <c r="D34" s="744"/>
      <c r="E34" s="744"/>
      <c r="F34" s="744"/>
      <c r="G34" s="744"/>
      <c r="H34" s="744"/>
      <c r="I34" s="744"/>
      <c r="J34" s="744"/>
      <c r="K34" s="744"/>
      <c r="L34" s="744"/>
      <c r="M34" s="744"/>
      <c r="N34" s="744"/>
      <c r="O34" s="744"/>
      <c r="P34" s="744"/>
      <c r="Q34" s="659"/>
      <c r="R34" s="659"/>
      <c r="V34" s="758"/>
    </row>
    <row r="35" spans="1:32" s="652" customFormat="1" ht="13.5" customHeight="1" x14ac:dyDescent="0.15">
      <c r="A35" s="658"/>
      <c r="B35" s="784" t="s">
        <v>1160</v>
      </c>
      <c r="C35" s="784"/>
      <c r="D35" s="784"/>
      <c r="E35" s="784"/>
      <c r="F35" s="784"/>
      <c r="G35" s="784"/>
      <c r="H35" s="784"/>
      <c r="I35" s="784"/>
      <c r="J35" s="784"/>
      <c r="K35" s="784"/>
      <c r="L35" s="784"/>
      <c r="M35" s="784"/>
      <c r="N35" s="784"/>
      <c r="O35" s="784"/>
      <c r="P35" s="784"/>
      <c r="Q35" s="787" t="s">
        <v>1301</v>
      </c>
      <c r="R35" s="789"/>
      <c r="V35" s="758"/>
    </row>
    <row r="36" spans="1:32" s="652" customFormat="1" ht="13.5" customHeight="1" x14ac:dyDescent="0.15">
      <c r="A36" s="653"/>
      <c r="B36" s="653"/>
      <c r="C36" s="653"/>
      <c r="D36" s="653"/>
      <c r="E36" s="653"/>
    </row>
    <row r="37" spans="1:32" s="652" customFormat="1" ht="13.5" customHeight="1" x14ac:dyDescent="0.25">
      <c r="A37" s="661" t="s">
        <v>1442</v>
      </c>
      <c r="B37" s="532"/>
      <c r="C37" s="532"/>
      <c r="D37" s="532"/>
      <c r="E37" s="532"/>
      <c r="F37" s="532"/>
      <c r="G37" s="532"/>
      <c r="H37" s="532"/>
      <c r="AE37" s="662"/>
    </row>
    <row r="38" spans="1:32" s="652" customFormat="1" ht="13.5" customHeight="1" x14ac:dyDescent="0.25">
      <c r="A38" s="840" t="s">
        <v>1169</v>
      </c>
      <c r="B38" s="840"/>
      <c r="C38" s="840"/>
      <c r="D38" s="840"/>
      <c r="E38" s="840"/>
      <c r="F38" s="840"/>
      <c r="G38" s="840"/>
      <c r="H38" s="841"/>
      <c r="I38" s="834">
        <v>0.25</v>
      </c>
      <c r="J38" s="835"/>
      <c r="K38" s="826" t="s">
        <v>374</v>
      </c>
      <c r="L38" s="813"/>
      <c r="M38" s="813"/>
      <c r="N38" s="814"/>
      <c r="O38" s="842" t="s">
        <v>1273</v>
      </c>
      <c r="P38" s="843"/>
      <c r="Q38" s="843"/>
      <c r="R38" s="844"/>
      <c r="S38" s="826" t="s">
        <v>1162</v>
      </c>
      <c r="T38" s="813"/>
      <c r="U38" s="813"/>
      <c r="V38" s="813"/>
      <c r="W38" s="813"/>
      <c r="X38" s="814"/>
      <c r="Y38" s="831">
        <v>100000</v>
      </c>
      <c r="Z38" s="832"/>
      <c r="AA38" s="833"/>
      <c r="AE38" s="653" t="s">
        <v>1665</v>
      </c>
      <c r="AF38" s="664" t="b">
        <v>1</v>
      </c>
    </row>
    <row r="39" spans="1:32" s="652" customFormat="1" ht="13.5" customHeight="1" x14ac:dyDescent="0.25">
      <c r="A39" s="785" t="s">
        <v>1168</v>
      </c>
      <c r="B39" s="785"/>
      <c r="C39" s="785"/>
      <c r="D39" s="785"/>
      <c r="E39" s="785"/>
      <c r="F39" s="785"/>
      <c r="G39" s="785"/>
      <c r="H39" s="786"/>
      <c r="I39" s="834">
        <v>18</v>
      </c>
      <c r="J39" s="835"/>
      <c r="L39" s="653"/>
      <c r="M39" s="653"/>
      <c r="N39" s="653"/>
      <c r="O39" s="653"/>
      <c r="P39" s="653"/>
      <c r="Q39" s="653"/>
      <c r="S39" s="813" t="s">
        <v>1164</v>
      </c>
      <c r="T39" s="813"/>
      <c r="U39" s="813"/>
      <c r="V39" s="813"/>
      <c r="W39" s="813"/>
      <c r="X39" s="814"/>
      <c r="Y39" s="836"/>
      <c r="Z39" s="837"/>
      <c r="AA39" s="838"/>
      <c r="AE39" s="653" t="s">
        <v>1666</v>
      </c>
      <c r="AF39" s="664" t="b">
        <v>0</v>
      </c>
    </row>
    <row r="40" spans="1:32" s="652" customFormat="1" ht="13.5" customHeight="1" x14ac:dyDescent="0.25">
      <c r="A40" s="661"/>
      <c r="B40" s="532"/>
      <c r="C40" s="532"/>
      <c r="D40" s="532"/>
      <c r="E40" s="532"/>
      <c r="F40" s="532"/>
      <c r="G40" s="532"/>
      <c r="H40" s="532"/>
      <c r="AE40" s="653" t="s">
        <v>1667</v>
      </c>
      <c r="AF40" s="664" t="b">
        <v>0</v>
      </c>
    </row>
    <row r="41" spans="1:32" s="652" customFormat="1" ht="13.5" customHeight="1" x14ac:dyDescent="0.15">
      <c r="A41" s="785" t="s">
        <v>1165</v>
      </c>
      <c r="B41" s="785"/>
      <c r="C41" s="785"/>
      <c r="D41" s="785"/>
      <c r="E41" s="785"/>
      <c r="F41" s="785"/>
      <c r="G41" s="785"/>
      <c r="H41" s="786"/>
      <c r="I41" s="827">
        <v>0.3</v>
      </c>
      <c r="J41" s="828"/>
      <c r="K41" s="826" t="s">
        <v>374</v>
      </c>
      <c r="L41" s="813"/>
      <c r="M41" s="813"/>
      <c r="N41" s="814"/>
      <c r="O41" s="823" t="s">
        <v>1273</v>
      </c>
      <c r="P41" s="824"/>
      <c r="Q41" s="824"/>
      <c r="R41" s="825"/>
      <c r="S41" s="826" t="s">
        <v>1162</v>
      </c>
      <c r="T41" s="813"/>
      <c r="U41" s="813"/>
      <c r="V41" s="813"/>
      <c r="W41" s="813"/>
      <c r="X41" s="814"/>
      <c r="Y41" s="829">
        <v>100000</v>
      </c>
      <c r="Z41" s="829"/>
      <c r="AA41" s="829"/>
      <c r="AE41" s="653" t="s">
        <v>1558</v>
      </c>
      <c r="AF41" s="664" t="b">
        <v>0</v>
      </c>
    </row>
    <row r="42" spans="1:32" s="652" customFormat="1" ht="13.5" customHeight="1" x14ac:dyDescent="0.15">
      <c r="A42" s="785" t="s">
        <v>1166</v>
      </c>
      <c r="B42" s="785"/>
      <c r="C42" s="785"/>
      <c r="D42" s="785"/>
      <c r="E42" s="785"/>
      <c r="F42" s="785"/>
      <c r="G42" s="785"/>
      <c r="H42" s="786"/>
      <c r="I42" s="827">
        <v>16</v>
      </c>
      <c r="J42" s="828"/>
      <c r="L42" s="653"/>
      <c r="M42" s="653"/>
      <c r="N42" s="653"/>
      <c r="O42" s="653"/>
      <c r="P42" s="653"/>
      <c r="Q42" s="653"/>
      <c r="S42" s="813" t="s">
        <v>1164</v>
      </c>
      <c r="T42" s="813"/>
      <c r="U42" s="813"/>
      <c r="V42" s="813"/>
      <c r="W42" s="813"/>
      <c r="X42" s="814"/>
      <c r="Y42" s="830"/>
      <c r="Z42" s="830"/>
      <c r="AA42" s="830"/>
      <c r="AE42" s="653" t="s">
        <v>1668</v>
      </c>
      <c r="AF42" s="664" t="b">
        <v>0</v>
      </c>
    </row>
    <row r="43" spans="1:32" s="652" customFormat="1" ht="13.5" customHeight="1" x14ac:dyDescent="0.15">
      <c r="B43" s="658"/>
      <c r="C43" s="653"/>
      <c r="D43" s="653"/>
      <c r="E43" s="653"/>
      <c r="L43" s="653"/>
      <c r="M43" s="653"/>
      <c r="N43" s="653"/>
      <c r="O43" s="653"/>
      <c r="P43" s="653"/>
      <c r="Q43" s="653"/>
      <c r="AE43" s="653" t="s">
        <v>1118</v>
      </c>
      <c r="AF43" s="664" t="b">
        <v>0</v>
      </c>
    </row>
    <row r="44" spans="1:32" s="652" customFormat="1" ht="13.5" customHeight="1" x14ac:dyDescent="0.15">
      <c r="A44" s="785" t="s">
        <v>1161</v>
      </c>
      <c r="B44" s="785"/>
      <c r="C44" s="785"/>
      <c r="D44" s="785"/>
      <c r="E44" s="785"/>
      <c r="F44" s="785"/>
      <c r="G44" s="785"/>
      <c r="H44" s="786"/>
      <c r="I44" s="827">
        <v>3.5000000000000003E-2</v>
      </c>
      <c r="J44" s="828"/>
      <c r="K44" s="826" t="s">
        <v>374</v>
      </c>
      <c r="L44" s="813"/>
      <c r="M44" s="813"/>
      <c r="N44" s="814"/>
      <c r="O44" s="823" t="s">
        <v>1152</v>
      </c>
      <c r="P44" s="824"/>
      <c r="Q44" s="824"/>
      <c r="R44" s="825"/>
      <c r="S44" s="826" t="s">
        <v>1162</v>
      </c>
      <c r="T44" s="813"/>
      <c r="U44" s="813"/>
      <c r="V44" s="813"/>
      <c r="W44" s="813"/>
      <c r="X44" s="814"/>
      <c r="Y44" s="787">
        <v>50000</v>
      </c>
      <c r="Z44" s="788"/>
      <c r="AA44" s="789"/>
      <c r="AE44" s="653" t="s">
        <v>1669</v>
      </c>
      <c r="AF44" s="664" t="b">
        <v>0</v>
      </c>
    </row>
    <row r="45" spans="1:32" s="652" customFormat="1" ht="13.5" customHeight="1" x14ac:dyDescent="0.15">
      <c r="A45" s="785" t="s">
        <v>1163</v>
      </c>
      <c r="B45" s="785"/>
      <c r="C45" s="785"/>
      <c r="D45" s="785"/>
      <c r="E45" s="785"/>
      <c r="F45" s="785"/>
      <c r="G45" s="785"/>
      <c r="H45" s="786"/>
      <c r="I45" s="827">
        <v>30</v>
      </c>
      <c r="J45" s="828"/>
      <c r="L45" s="662"/>
      <c r="M45" s="662"/>
      <c r="S45" s="813" t="s">
        <v>1164</v>
      </c>
      <c r="T45" s="813"/>
      <c r="U45" s="813"/>
      <c r="V45" s="813"/>
      <c r="W45" s="813"/>
      <c r="X45" s="814"/>
      <c r="Y45" s="791"/>
      <c r="Z45" s="792"/>
      <c r="AA45" s="793"/>
      <c r="AE45" s="653" t="s">
        <v>1670</v>
      </c>
      <c r="AF45" s="664" t="b">
        <v>0</v>
      </c>
    </row>
    <row r="46" spans="1:32" s="652" customFormat="1" ht="13.5" customHeight="1" x14ac:dyDescent="0.25">
      <c r="B46" s="658"/>
      <c r="F46" s="658"/>
      <c r="G46" s="566"/>
      <c r="H46" s="566"/>
      <c r="J46" s="566"/>
      <c r="K46" s="658"/>
      <c r="L46" s="653"/>
      <c r="M46" s="653"/>
      <c r="N46" s="653"/>
      <c r="O46" s="653"/>
      <c r="P46" s="653"/>
      <c r="Q46" s="653"/>
      <c r="AE46" s="653" t="s">
        <v>1671</v>
      </c>
      <c r="AF46" s="664" t="b">
        <v>0</v>
      </c>
    </row>
    <row r="47" spans="1:32" s="652" customFormat="1" ht="13.5" customHeight="1" x14ac:dyDescent="0.15">
      <c r="A47" s="813" t="s">
        <v>1167</v>
      </c>
      <c r="B47" s="813"/>
      <c r="C47" s="813"/>
      <c r="D47" s="813"/>
      <c r="E47" s="813"/>
      <c r="F47" s="813"/>
      <c r="G47" s="813"/>
      <c r="H47" s="814"/>
      <c r="I47" s="827">
        <v>0.06</v>
      </c>
      <c r="J47" s="828"/>
      <c r="K47" s="826" t="s">
        <v>374</v>
      </c>
      <c r="L47" s="813"/>
      <c r="M47" s="813"/>
      <c r="N47" s="814"/>
      <c r="O47" s="823" t="s">
        <v>1273</v>
      </c>
      <c r="P47" s="824"/>
      <c r="Q47" s="824"/>
      <c r="R47" s="825"/>
      <c r="S47" s="826" t="s">
        <v>1162</v>
      </c>
      <c r="T47" s="813"/>
      <c r="U47" s="813"/>
      <c r="V47" s="813"/>
      <c r="W47" s="813"/>
      <c r="X47" s="814"/>
      <c r="Y47" s="787">
        <v>30000</v>
      </c>
      <c r="Z47" s="788"/>
      <c r="AA47" s="789"/>
      <c r="AE47" s="653" t="s">
        <v>1190</v>
      </c>
      <c r="AF47" s="664" t="b">
        <v>0</v>
      </c>
    </row>
    <row r="48" spans="1:32" s="652" customFormat="1" ht="13.5" customHeight="1" x14ac:dyDescent="0.15">
      <c r="A48" s="785" t="s">
        <v>1168</v>
      </c>
      <c r="B48" s="785"/>
      <c r="C48" s="785"/>
      <c r="D48" s="785"/>
      <c r="E48" s="785"/>
      <c r="F48" s="785"/>
      <c r="G48" s="785"/>
      <c r="H48" s="786"/>
      <c r="I48" s="827">
        <v>42</v>
      </c>
      <c r="J48" s="828"/>
      <c r="L48" s="653"/>
      <c r="M48" s="653"/>
      <c r="N48" s="653"/>
      <c r="O48" s="653"/>
      <c r="P48" s="653"/>
      <c r="Q48" s="653"/>
      <c r="S48" s="813" t="s">
        <v>1164</v>
      </c>
      <c r="T48" s="813"/>
      <c r="U48" s="813"/>
      <c r="V48" s="813"/>
      <c r="W48" s="813"/>
      <c r="X48" s="814"/>
      <c r="Y48" s="791"/>
      <c r="Z48" s="792"/>
      <c r="AA48" s="793"/>
      <c r="AE48" s="653" t="s">
        <v>1191</v>
      </c>
      <c r="AF48" s="664" t="b">
        <v>1</v>
      </c>
    </row>
    <row r="49" spans="1:32" s="652" customFormat="1" ht="13.5" customHeight="1" x14ac:dyDescent="0.25">
      <c r="A49" s="663"/>
      <c r="B49" s="658"/>
      <c r="F49" s="658"/>
      <c r="G49" s="566"/>
      <c r="H49" s="566"/>
      <c r="I49" s="566"/>
      <c r="J49" s="658"/>
      <c r="K49" s="658"/>
      <c r="L49" s="653"/>
      <c r="M49" s="653"/>
      <c r="N49" s="653"/>
      <c r="O49" s="653"/>
      <c r="P49" s="653"/>
      <c r="Q49" s="653"/>
      <c r="AE49" s="653" t="s">
        <v>1192</v>
      </c>
      <c r="AF49" s="664" t="b">
        <v>0</v>
      </c>
    </row>
    <row r="50" spans="1:32" s="652" customFormat="1" ht="13.5" customHeight="1" x14ac:dyDescent="0.25">
      <c r="A50" s="657" t="s">
        <v>1170</v>
      </c>
      <c r="B50" s="658"/>
      <c r="F50" s="658"/>
      <c r="G50" s="566"/>
      <c r="H50" s="566"/>
      <c r="I50" s="566"/>
      <c r="J50" s="658"/>
      <c r="K50" s="658"/>
      <c r="L50" s="653"/>
      <c r="M50" s="653"/>
      <c r="N50" s="653"/>
      <c r="O50" s="653"/>
      <c r="P50" s="653"/>
      <c r="Q50" s="653"/>
      <c r="AE50" s="653" t="s">
        <v>1660</v>
      </c>
      <c r="AF50" s="664"/>
    </row>
    <row r="51" spans="1:32" s="652" customFormat="1" ht="13.5" customHeight="1" x14ac:dyDescent="0.15">
      <c r="A51" s="653"/>
      <c r="B51" s="653"/>
      <c r="C51" s="653"/>
      <c r="D51" s="653"/>
      <c r="E51" s="653"/>
    </row>
    <row r="52" spans="1:32" s="652" customFormat="1" ht="13.5" customHeight="1" x14ac:dyDescent="0.15">
      <c r="A52" s="839" t="s">
        <v>1171</v>
      </c>
      <c r="B52" s="839"/>
      <c r="C52" s="839"/>
      <c r="D52" s="839"/>
      <c r="E52" s="839"/>
      <c r="F52" s="839"/>
      <c r="G52" s="839"/>
      <c r="H52" s="839"/>
      <c r="I52" s="839"/>
      <c r="J52" s="839"/>
      <c r="K52" s="839"/>
      <c r="L52" s="839"/>
      <c r="M52" s="839"/>
      <c r="N52" s="839"/>
      <c r="O52" s="839"/>
      <c r="P52" s="839"/>
      <c r="Q52" s="839"/>
      <c r="R52" s="839"/>
      <c r="S52" s="787" t="s">
        <v>1301</v>
      </c>
      <c r="T52" s="789"/>
      <c r="X52" s="758"/>
    </row>
    <row r="53" spans="1:32" s="652" customFormat="1" ht="13.5" customHeight="1" x14ac:dyDescent="0.15">
      <c r="B53" s="658"/>
      <c r="C53" s="658"/>
      <c r="H53" s="653"/>
      <c r="I53" s="658"/>
      <c r="J53" s="658"/>
      <c r="O53" s="653"/>
      <c r="P53" s="653"/>
      <c r="Q53" s="653"/>
      <c r="R53" s="653"/>
    </row>
    <row r="54" spans="1:32" s="652" customFormat="1" ht="13.5" customHeight="1" x14ac:dyDescent="0.15">
      <c r="A54" s="784" t="s">
        <v>1172</v>
      </c>
      <c r="B54" s="784"/>
      <c r="C54" s="784"/>
      <c r="D54" s="784"/>
      <c r="E54" s="784"/>
      <c r="F54" s="784"/>
      <c r="G54" s="784"/>
      <c r="H54" s="784"/>
      <c r="I54" s="796"/>
      <c r="J54" s="845"/>
      <c r="K54" s="846"/>
      <c r="L54" s="846"/>
      <c r="M54" s="846"/>
      <c r="N54" s="846"/>
      <c r="O54" s="846"/>
      <c r="P54" s="846"/>
      <c r="Q54" s="847"/>
      <c r="R54" s="653"/>
    </row>
    <row r="55" spans="1:32" s="652" customFormat="1" ht="13.5" customHeight="1" x14ac:dyDescent="0.15"/>
    <row r="56" spans="1:32" s="664" customFormat="1" ht="13.5" customHeight="1" x14ac:dyDescent="0.15">
      <c r="A56" s="848" t="s">
        <v>1173</v>
      </c>
      <c r="B56" s="848"/>
      <c r="C56" s="848"/>
      <c r="D56" s="848"/>
      <c r="E56" s="657"/>
      <c r="F56" s="652"/>
      <c r="G56" s="652"/>
      <c r="H56" s="652"/>
      <c r="I56" s="652"/>
      <c r="J56" s="652"/>
      <c r="K56" s="652"/>
      <c r="L56" s="652"/>
      <c r="M56" s="652"/>
      <c r="N56" s="652"/>
      <c r="O56" s="652"/>
      <c r="P56" s="652"/>
      <c r="Q56" s="652"/>
      <c r="R56" s="652"/>
      <c r="S56" s="652"/>
      <c r="T56" s="652"/>
      <c r="U56" s="652"/>
      <c r="V56" s="652"/>
      <c r="W56" s="652"/>
      <c r="X56" s="652"/>
      <c r="Y56" s="652"/>
      <c r="Z56" s="652"/>
      <c r="AA56" s="652"/>
      <c r="AB56" s="652"/>
      <c r="AC56" s="652"/>
      <c r="AD56" s="652"/>
    </row>
    <row r="57" spans="1:32" s="664" customFormat="1" ht="13.5" customHeight="1" x14ac:dyDescent="0.15">
      <c r="A57" s="652"/>
      <c r="B57" s="785" t="s">
        <v>1174</v>
      </c>
      <c r="C57" s="785"/>
      <c r="D57" s="785"/>
      <c r="E57" s="785"/>
      <c r="F57" s="785"/>
      <c r="H57" s="652"/>
      <c r="I57" s="785" t="s">
        <v>1175</v>
      </c>
      <c r="J57" s="785"/>
      <c r="K57" s="785"/>
      <c r="L57" s="785"/>
      <c r="N57" s="652"/>
      <c r="O57" s="662"/>
      <c r="P57" s="785" t="s">
        <v>1176</v>
      </c>
      <c r="Q57" s="785"/>
      <c r="R57" s="785"/>
      <c r="S57" s="785"/>
      <c r="T57" s="785"/>
      <c r="U57" s="785"/>
      <c r="W57" s="652"/>
      <c r="X57" s="662"/>
      <c r="Y57" s="785" t="s">
        <v>1177</v>
      </c>
      <c r="Z57" s="785"/>
      <c r="AB57" s="652"/>
      <c r="AC57" s="652"/>
      <c r="AD57" s="652"/>
    </row>
    <row r="58" spans="1:32" s="664" customFormat="1" ht="13.5" customHeight="1" x14ac:dyDescent="0.15">
      <c r="A58" s="652"/>
      <c r="B58" s="785" t="s">
        <v>1178</v>
      </c>
      <c r="C58" s="785"/>
      <c r="D58" s="785"/>
      <c r="E58" s="785"/>
      <c r="F58" s="785"/>
      <c r="H58" s="652"/>
      <c r="I58" s="785" t="s">
        <v>1179</v>
      </c>
      <c r="J58" s="785"/>
      <c r="K58" s="785"/>
      <c r="L58" s="785"/>
      <c r="N58" s="652"/>
      <c r="O58" s="652"/>
      <c r="P58" s="785" t="s">
        <v>1180</v>
      </c>
      <c r="Q58" s="785"/>
      <c r="R58" s="785"/>
      <c r="S58" s="785"/>
      <c r="T58" s="785"/>
      <c r="U58" s="785"/>
      <c r="W58" s="652"/>
      <c r="X58" s="652"/>
      <c r="Y58" s="652"/>
      <c r="Z58" s="652"/>
      <c r="AA58" s="652"/>
      <c r="AB58" s="653"/>
      <c r="AC58" s="652"/>
      <c r="AD58" s="652"/>
    </row>
    <row r="59" spans="1:32" s="664" customFormat="1" ht="13.5" customHeight="1" x14ac:dyDescent="0.15">
      <c r="A59" s="652"/>
      <c r="B59" s="652"/>
      <c r="C59" s="652"/>
      <c r="D59" s="652"/>
      <c r="E59" s="652"/>
      <c r="F59" s="652"/>
      <c r="G59" s="652"/>
      <c r="H59" s="652"/>
      <c r="I59" s="652"/>
      <c r="J59" s="652"/>
      <c r="K59" s="652"/>
      <c r="L59" s="652"/>
      <c r="M59" s="652"/>
      <c r="N59" s="652"/>
      <c r="O59" s="652"/>
      <c r="P59" s="652"/>
      <c r="Q59" s="652"/>
      <c r="R59" s="652"/>
      <c r="S59" s="652"/>
      <c r="T59" s="652"/>
      <c r="U59" s="652"/>
      <c r="V59" s="652"/>
      <c r="W59" s="652"/>
      <c r="X59" s="652"/>
      <c r="Y59" s="652"/>
      <c r="Z59" s="652"/>
      <c r="AA59" s="652"/>
      <c r="AB59" s="652"/>
      <c r="AC59" s="652"/>
      <c r="AD59" s="652"/>
    </row>
    <row r="60" spans="1:32" s="664" customFormat="1" ht="13.5" customHeight="1" x14ac:dyDescent="0.15">
      <c r="A60" s="785" t="s">
        <v>1181</v>
      </c>
      <c r="B60" s="785"/>
      <c r="C60" s="785"/>
      <c r="D60" s="785"/>
      <c r="E60" s="785"/>
      <c r="F60" s="786"/>
      <c r="G60" s="791"/>
      <c r="H60" s="792"/>
      <c r="I60" s="793"/>
      <c r="J60" s="652"/>
      <c r="K60" s="652"/>
      <c r="L60" s="849" t="s">
        <v>1182</v>
      </c>
      <c r="M60" s="849"/>
      <c r="N60" s="849"/>
      <c r="O60" s="849"/>
      <c r="P60" s="785" t="s">
        <v>1183</v>
      </c>
      <c r="Q60" s="785"/>
      <c r="R60" s="786"/>
      <c r="S60" s="850"/>
      <c r="T60" s="851"/>
      <c r="U60" s="852"/>
      <c r="V60" s="662" t="s">
        <v>1184</v>
      </c>
      <c r="W60" s="785" t="s">
        <v>1185</v>
      </c>
      <c r="X60" s="785"/>
      <c r="Y60" s="786"/>
      <c r="Z60" s="850"/>
      <c r="AA60" s="852"/>
      <c r="AB60" s="652"/>
      <c r="AC60" s="652"/>
      <c r="AD60" s="652"/>
    </row>
    <row r="61" spans="1:32" s="664" customFormat="1" ht="13.5" customHeight="1" x14ac:dyDescent="0.15">
      <c r="A61" s="785" t="s">
        <v>1186</v>
      </c>
      <c r="B61" s="785"/>
      <c r="C61" s="785"/>
      <c r="D61" s="785"/>
      <c r="E61" s="785"/>
      <c r="F61" s="786"/>
      <c r="G61" s="850"/>
      <c r="H61" s="851"/>
      <c r="I61" s="852"/>
      <c r="J61" s="785" t="s">
        <v>1187</v>
      </c>
      <c r="K61" s="785"/>
      <c r="L61" s="785"/>
      <c r="M61" s="785"/>
      <c r="N61" s="785"/>
      <c r="O61" s="785"/>
      <c r="P61" s="785"/>
      <c r="Q61" s="785"/>
      <c r="R61" s="786"/>
      <c r="S61" s="850"/>
      <c r="T61" s="851"/>
      <c r="U61" s="852"/>
      <c r="V61" s="652"/>
      <c r="W61" s="652"/>
      <c r="X61" s="652"/>
      <c r="Y61" s="652"/>
      <c r="Z61" s="652"/>
      <c r="AA61" s="652"/>
      <c r="AB61" s="652"/>
      <c r="AC61" s="652"/>
      <c r="AD61" s="652"/>
    </row>
    <row r="62" spans="1:32" s="664" customFormat="1" ht="13.5" customHeight="1" x14ac:dyDescent="0.15">
      <c r="A62" s="785" t="s">
        <v>1188</v>
      </c>
      <c r="B62" s="785"/>
      <c r="C62" s="785"/>
      <c r="D62" s="785"/>
      <c r="E62" s="785"/>
      <c r="F62" s="786"/>
      <c r="G62" s="827">
        <v>40</v>
      </c>
      <c r="H62" s="853"/>
      <c r="I62" s="828"/>
      <c r="J62" s="652"/>
      <c r="K62" s="652"/>
      <c r="L62" s="652"/>
      <c r="M62" s="652"/>
      <c r="N62" s="652"/>
      <c r="O62" s="652"/>
      <c r="P62" s="652"/>
      <c r="Q62" s="652"/>
      <c r="R62" s="652"/>
      <c r="S62" s="652"/>
      <c r="T62" s="652"/>
      <c r="U62" s="652"/>
      <c r="V62" s="652"/>
      <c r="W62" s="652"/>
      <c r="X62" s="652"/>
      <c r="Y62" s="652"/>
      <c r="Z62" s="652"/>
      <c r="AA62" s="652"/>
      <c r="AB62" s="652"/>
      <c r="AC62" s="652"/>
      <c r="AD62" s="652"/>
    </row>
    <row r="63" spans="1:32" s="664" customFormat="1" ht="13.5" customHeight="1" x14ac:dyDescent="0.25">
      <c r="A63" s="658"/>
      <c r="B63" s="566"/>
      <c r="C63" s="566"/>
      <c r="D63" s="566"/>
      <c r="E63" s="566"/>
      <c r="F63" s="566"/>
      <c r="G63" s="566"/>
      <c r="H63" s="566"/>
      <c r="I63" s="652"/>
      <c r="J63" s="652"/>
      <c r="K63" s="652"/>
      <c r="L63" s="652"/>
      <c r="M63" s="652"/>
      <c r="N63" s="652"/>
      <c r="O63" s="652"/>
      <c r="P63" s="652"/>
      <c r="Q63" s="652"/>
      <c r="R63" s="652"/>
      <c r="S63" s="652"/>
      <c r="T63" s="652"/>
      <c r="U63" s="652"/>
      <c r="V63" s="652"/>
      <c r="W63" s="652"/>
      <c r="X63" s="652"/>
      <c r="Y63" s="652"/>
      <c r="Z63" s="652"/>
      <c r="AA63" s="652"/>
      <c r="AB63" s="652"/>
      <c r="AC63" s="652"/>
      <c r="AD63" s="652"/>
    </row>
    <row r="64" spans="1:32" s="664" customFormat="1" ht="13.5" customHeight="1" x14ac:dyDescent="0.2">
      <c r="A64" s="652"/>
      <c r="B64" s="658"/>
      <c r="C64" s="658"/>
      <c r="D64" s="658"/>
      <c r="E64" s="658"/>
      <c r="F64" s="652"/>
      <c r="G64" s="652"/>
      <c r="H64" s="652"/>
      <c r="I64" s="652"/>
      <c r="J64" s="652"/>
      <c r="K64" s="652"/>
      <c r="L64" s="652"/>
      <c r="M64" s="652"/>
      <c r="N64" s="652"/>
      <c r="O64" s="652"/>
      <c r="P64" s="652"/>
      <c r="Q64" s="652"/>
      <c r="R64" s="652"/>
      <c r="S64" s="652"/>
      <c r="T64" s="652"/>
      <c r="U64" s="652"/>
      <c r="V64" s="652"/>
      <c r="W64" s="652"/>
      <c r="X64" s="652"/>
      <c r="Y64" s="760"/>
      <c r="Z64" s="652"/>
      <c r="AA64" s="652"/>
      <c r="AB64" s="652"/>
      <c r="AC64" s="652"/>
      <c r="AD64" s="652"/>
    </row>
    <row r="65" spans="1:38" s="664" customFormat="1" ht="13.5" customHeight="1" x14ac:dyDescent="0.2">
      <c r="A65" s="848" t="s">
        <v>1189</v>
      </c>
      <c r="B65" s="848"/>
      <c r="C65" s="848"/>
      <c r="D65" s="848"/>
      <c r="E65" s="652"/>
      <c r="F65" s="785" t="s">
        <v>1190</v>
      </c>
      <c r="G65" s="785"/>
      <c r="H65" s="785"/>
      <c r="I65" s="785"/>
      <c r="J65" s="660"/>
      <c r="K65" s="652"/>
      <c r="L65" s="652"/>
      <c r="M65" s="652"/>
      <c r="N65" s="652"/>
      <c r="O65" s="658" t="s">
        <v>1191</v>
      </c>
      <c r="P65" s="660"/>
      <c r="Q65" s="652"/>
      <c r="R65" s="652"/>
      <c r="S65" s="652"/>
      <c r="T65" s="652"/>
      <c r="U65" s="658" t="s">
        <v>1192</v>
      </c>
      <c r="V65" s="660"/>
      <c r="W65" s="652"/>
      <c r="X65" s="652"/>
      <c r="Y65" s="760"/>
      <c r="Z65" s="652"/>
      <c r="AA65" s="652"/>
      <c r="AB65" s="652"/>
      <c r="AC65" s="652"/>
      <c r="AD65" s="652"/>
    </row>
    <row r="66" spans="1:38" s="664" customFormat="1" ht="13.5" customHeight="1" x14ac:dyDescent="0.15">
      <c r="A66" s="652"/>
      <c r="B66" s="658"/>
      <c r="C66" s="658"/>
      <c r="D66" s="658"/>
      <c r="E66" s="658"/>
      <c r="F66" s="652"/>
      <c r="G66" s="652"/>
      <c r="H66" s="652"/>
      <c r="I66" s="652"/>
      <c r="J66" s="652"/>
      <c r="K66" s="652"/>
      <c r="L66" s="652"/>
      <c r="M66" s="652"/>
      <c r="N66" s="652"/>
      <c r="O66" s="652"/>
      <c r="P66" s="652"/>
      <c r="Q66" s="652"/>
      <c r="R66" s="652"/>
      <c r="S66" s="652"/>
      <c r="T66" s="652"/>
      <c r="U66" s="652"/>
      <c r="V66" s="652"/>
      <c r="W66" s="652"/>
      <c r="X66" s="652"/>
      <c r="Y66" s="652"/>
      <c r="Z66" s="652"/>
      <c r="AA66" s="652"/>
      <c r="AB66" s="652"/>
      <c r="AC66" s="652"/>
      <c r="AD66" s="652"/>
    </row>
    <row r="67" spans="1:38" s="682" customFormat="1" x14ac:dyDescent="0.2">
      <c r="A67" s="645"/>
      <c r="B67" s="645"/>
      <c r="C67" s="645"/>
      <c r="D67" s="645"/>
      <c r="E67" s="645"/>
      <c r="F67" s="645"/>
      <c r="G67" s="645"/>
      <c r="H67" s="645"/>
      <c r="I67" s="645"/>
      <c r="J67" s="645"/>
      <c r="K67" s="645"/>
      <c r="L67" s="645"/>
      <c r="M67" s="645"/>
      <c r="N67" s="645"/>
      <c r="O67" s="645"/>
      <c r="P67" s="645"/>
      <c r="Q67" s="645"/>
      <c r="R67" s="645"/>
      <c r="S67" s="645"/>
      <c r="T67" s="645"/>
      <c r="U67" s="645"/>
      <c r="V67" s="645"/>
      <c r="W67" s="645"/>
      <c r="X67" s="645"/>
      <c r="Y67" s="645"/>
      <c r="Z67" s="645"/>
      <c r="AA67" s="645"/>
      <c r="AB67" s="645"/>
      <c r="AC67" s="652"/>
      <c r="AD67" s="652"/>
      <c r="AE67" s="664"/>
      <c r="AF67" s="664"/>
      <c r="AG67" s="664"/>
      <c r="AH67" s="664"/>
      <c r="AI67" s="664"/>
      <c r="AJ67" s="664"/>
      <c r="AK67" s="664"/>
      <c r="AL67" s="664"/>
    </row>
    <row r="68" spans="1:38" s="664" customFormat="1" ht="13.5" customHeight="1" x14ac:dyDescent="0.15">
      <c r="A68" s="854" t="s">
        <v>1193</v>
      </c>
      <c r="B68" s="854"/>
      <c r="C68" s="854"/>
      <c r="D68" s="854"/>
      <c r="E68" s="854"/>
      <c r="F68" s="855"/>
      <c r="G68" s="790">
        <v>9</v>
      </c>
      <c r="H68" s="790"/>
      <c r="I68" s="856" t="s">
        <v>1194</v>
      </c>
      <c r="J68" s="857"/>
      <c r="K68" s="857"/>
      <c r="L68" s="790">
        <v>40</v>
      </c>
      <c r="M68" s="790"/>
      <c r="N68" s="653" t="s">
        <v>1053</v>
      </c>
      <c r="O68" s="652"/>
      <c r="P68" s="666">
        <f>G68*L68/12</f>
        <v>30</v>
      </c>
      <c r="Q68" s="652" t="s">
        <v>1112</v>
      </c>
      <c r="R68" s="652"/>
      <c r="S68" s="652"/>
      <c r="T68" s="785" t="s">
        <v>1195</v>
      </c>
      <c r="U68" s="785"/>
      <c r="V68" s="785"/>
      <c r="W68" s="785"/>
      <c r="X68" s="785"/>
      <c r="Y68" s="786"/>
      <c r="Z68" s="858"/>
      <c r="AA68" s="859"/>
      <c r="AB68" s="652"/>
      <c r="AC68" s="652"/>
      <c r="AD68" s="652"/>
    </row>
    <row r="69" spans="1:38" s="664" customFormat="1" ht="13.5" customHeight="1" x14ac:dyDescent="0.15">
      <c r="A69" s="854" t="s">
        <v>1196</v>
      </c>
      <c r="B69" s="854"/>
      <c r="C69" s="854"/>
      <c r="D69" s="854"/>
      <c r="E69" s="854"/>
      <c r="F69" s="855"/>
      <c r="G69" s="790">
        <v>12</v>
      </c>
      <c r="H69" s="790"/>
      <c r="I69" s="856" t="s">
        <v>1194</v>
      </c>
      <c r="J69" s="857"/>
      <c r="K69" s="857"/>
      <c r="L69" s="790">
        <v>35</v>
      </c>
      <c r="M69" s="790"/>
      <c r="N69" s="653" t="s">
        <v>1053</v>
      </c>
      <c r="O69" s="652"/>
      <c r="P69" s="666">
        <f t="shared" ref="P69:P70" si="0">G69*L69/12</f>
        <v>35</v>
      </c>
      <c r="Q69" s="652" t="s">
        <v>1112</v>
      </c>
      <c r="R69" s="652"/>
      <c r="S69" s="652"/>
      <c r="T69" s="652"/>
      <c r="U69" s="860" t="s">
        <v>1197</v>
      </c>
      <c r="V69" s="860"/>
      <c r="W69" s="860"/>
      <c r="X69" s="860"/>
      <c r="Y69" s="860"/>
      <c r="Z69" s="860"/>
      <c r="AA69" s="652"/>
      <c r="AB69" s="652"/>
      <c r="AC69" s="652"/>
      <c r="AD69" s="652"/>
    </row>
    <row r="70" spans="1:38" s="664" customFormat="1" ht="13.5" customHeight="1" x14ac:dyDescent="0.2">
      <c r="A70" s="854" t="s">
        <v>1198</v>
      </c>
      <c r="B70" s="854"/>
      <c r="C70" s="854"/>
      <c r="D70" s="854"/>
      <c r="E70" s="854"/>
      <c r="F70" s="855"/>
      <c r="G70" s="790">
        <v>2</v>
      </c>
      <c r="H70" s="790"/>
      <c r="I70" s="856" t="s">
        <v>1194</v>
      </c>
      <c r="J70" s="857"/>
      <c r="K70" s="857"/>
      <c r="L70" s="790">
        <v>40</v>
      </c>
      <c r="M70" s="790"/>
      <c r="N70" s="653" t="s">
        <v>1053</v>
      </c>
      <c r="O70" s="645"/>
      <c r="P70" s="666">
        <f t="shared" si="0"/>
        <v>6.666666666666667</v>
      </c>
      <c r="Q70" s="652" t="s">
        <v>1112</v>
      </c>
      <c r="R70" s="645"/>
      <c r="S70" s="645"/>
      <c r="T70" s="785" t="s">
        <v>1199</v>
      </c>
      <c r="U70" s="785"/>
      <c r="V70" s="785"/>
      <c r="W70" s="785"/>
      <c r="X70" s="785"/>
      <c r="Y70" s="786"/>
      <c r="Z70" s="858"/>
      <c r="AA70" s="859"/>
      <c r="AB70" s="652"/>
      <c r="AC70" s="652"/>
      <c r="AD70" s="652"/>
    </row>
    <row r="71" spans="1:38" s="682" customFormat="1" ht="13.5" customHeight="1" x14ac:dyDescent="0.2">
      <c r="A71" s="645"/>
      <c r="B71" s="645"/>
      <c r="C71" s="645"/>
      <c r="D71" s="645"/>
      <c r="E71" s="645"/>
      <c r="F71" s="645"/>
      <c r="G71" s="645"/>
      <c r="H71" s="645"/>
      <c r="I71" s="645"/>
      <c r="J71" s="653"/>
      <c r="K71" s="653"/>
      <c r="L71" s="653"/>
      <c r="M71" s="653"/>
      <c r="N71" s="645"/>
      <c r="O71" s="645"/>
      <c r="P71" s="645"/>
      <c r="Q71" s="645"/>
      <c r="R71" s="645"/>
      <c r="S71" s="645"/>
      <c r="T71" s="645"/>
      <c r="U71" s="860" t="s">
        <v>1200</v>
      </c>
      <c r="V71" s="860"/>
      <c r="W71" s="860"/>
      <c r="X71" s="860"/>
      <c r="Y71" s="860"/>
      <c r="Z71" s="860"/>
      <c r="AA71" s="645"/>
      <c r="AB71" s="645"/>
      <c r="AC71" s="652"/>
      <c r="AD71" s="652"/>
      <c r="AE71" s="664"/>
      <c r="AF71" s="664"/>
      <c r="AG71" s="664"/>
      <c r="AH71" s="664"/>
      <c r="AI71" s="664"/>
      <c r="AJ71" s="664"/>
      <c r="AK71" s="664"/>
      <c r="AL71" s="664"/>
    </row>
    <row r="72" spans="1:38" s="682" customFormat="1" ht="13.5" hidden="1" customHeight="1" x14ac:dyDescent="0.2">
      <c r="A72" s="645"/>
      <c r="B72" s="645"/>
      <c r="C72" s="645"/>
      <c r="D72" s="645"/>
      <c r="E72" s="645"/>
      <c r="F72" s="645"/>
      <c r="G72" s="645"/>
      <c r="H72" s="645"/>
      <c r="I72" s="645"/>
      <c r="J72" s="653"/>
      <c r="K72" s="653"/>
      <c r="L72" s="653"/>
      <c r="M72" s="653"/>
      <c r="N72" s="645"/>
      <c r="O72" s="645"/>
      <c r="P72" s="645"/>
      <c r="Q72" s="645"/>
      <c r="R72" s="645"/>
      <c r="S72" s="645"/>
      <c r="T72" s="645"/>
      <c r="U72" s="761"/>
      <c r="V72" s="761"/>
      <c r="W72" s="761"/>
      <c r="X72" s="761"/>
      <c r="Y72" s="761"/>
      <c r="Z72" s="761"/>
      <c r="AA72" s="645"/>
      <c r="AB72" s="645"/>
      <c r="AC72" s="652"/>
      <c r="AD72" s="652"/>
      <c r="AE72" s="664"/>
      <c r="AF72" s="664"/>
      <c r="AG72" s="664"/>
      <c r="AH72" s="664"/>
      <c r="AI72" s="664"/>
      <c r="AJ72" s="664"/>
      <c r="AK72" s="664"/>
      <c r="AL72" s="664"/>
    </row>
    <row r="73" spans="1:38" s="664" customFormat="1" ht="13.5" hidden="1" customHeight="1" x14ac:dyDescent="0.15">
      <c r="A73" s="763"/>
      <c r="B73" s="763"/>
      <c r="C73" s="763"/>
      <c r="D73" s="763"/>
      <c r="E73" s="763"/>
      <c r="F73" s="763"/>
      <c r="G73" s="763"/>
      <c r="H73" s="763"/>
      <c r="I73" s="763"/>
      <c r="J73" s="764" t="s">
        <v>1258</v>
      </c>
      <c r="K73" s="803"/>
      <c r="L73" s="804"/>
      <c r="M73" s="804"/>
      <c r="N73" s="805"/>
      <c r="O73" s="756"/>
      <c r="P73" s="756"/>
      <c r="Q73" s="652"/>
      <c r="R73" s="653"/>
      <c r="S73" s="765"/>
      <c r="T73" s="653"/>
      <c r="U73" s="652"/>
      <c r="V73" s="653"/>
      <c r="W73" s="653"/>
      <c r="X73" s="653"/>
      <c r="Y73" s="658"/>
      <c r="Z73" s="653"/>
      <c r="AA73" s="653"/>
      <c r="AB73" s="652"/>
      <c r="AC73" s="652"/>
      <c r="AD73" s="652"/>
    </row>
    <row r="74" spans="1:38" s="664" customFormat="1" ht="13.5" hidden="1" customHeight="1" x14ac:dyDescent="0.15">
      <c r="A74" s="652"/>
      <c r="B74" s="658"/>
      <c r="C74" s="658"/>
      <c r="D74" s="652"/>
      <c r="E74" s="652"/>
      <c r="F74" s="652"/>
      <c r="G74" s="652"/>
      <c r="H74" s="653"/>
      <c r="I74" s="658"/>
      <c r="J74" s="658"/>
      <c r="K74" s="652"/>
      <c r="L74" s="652"/>
      <c r="M74" s="652"/>
      <c r="N74" s="652"/>
      <c r="O74" s="653"/>
      <c r="P74" s="653"/>
      <c r="Q74" s="653"/>
      <c r="R74" s="653"/>
      <c r="S74" s="652"/>
      <c r="T74" s="652"/>
      <c r="U74" s="652"/>
      <c r="V74" s="652"/>
      <c r="W74" s="652"/>
      <c r="X74" s="652"/>
      <c r="Y74" s="652"/>
      <c r="Z74" s="652"/>
      <c r="AA74" s="652"/>
      <c r="AB74" s="652"/>
      <c r="AC74" s="652"/>
      <c r="AD74" s="652"/>
    </row>
    <row r="75" spans="1:38" s="664" customFormat="1" ht="13.5" hidden="1" customHeight="1" x14ac:dyDescent="0.15">
      <c r="A75" s="653"/>
      <c r="B75" s="653"/>
      <c r="C75" s="653"/>
      <c r="D75" s="653"/>
      <c r="E75" s="653"/>
      <c r="F75" s="653"/>
      <c r="G75" s="653"/>
      <c r="H75" s="653"/>
      <c r="I75" s="658" t="s">
        <v>1278</v>
      </c>
      <c r="J75" s="850"/>
      <c r="K75" s="852"/>
      <c r="L75" s="653"/>
      <c r="M75" s="653"/>
      <c r="N75" s="653"/>
      <c r="O75" s="653"/>
      <c r="P75" s="653"/>
      <c r="Q75" s="653"/>
      <c r="R75" s="653"/>
      <c r="S75" s="653"/>
      <c r="T75" s="653"/>
      <c r="U75" s="653"/>
      <c r="V75" s="653"/>
      <c r="W75" s="658" t="s">
        <v>1259</v>
      </c>
      <c r="X75" s="850"/>
      <c r="Y75" s="852"/>
      <c r="Z75" s="653"/>
      <c r="AA75" s="653"/>
      <c r="AB75" s="653"/>
      <c r="AC75" s="652"/>
      <c r="AD75" s="652"/>
    </row>
    <row r="76" spans="1:38" s="664" customFormat="1" ht="13.5" hidden="1" customHeight="1" x14ac:dyDescent="0.15">
      <c r="A76" s="653"/>
      <c r="B76" s="653"/>
      <c r="C76" s="653"/>
      <c r="D76" s="653"/>
      <c r="E76" s="653"/>
      <c r="F76" s="653"/>
      <c r="G76" s="653"/>
      <c r="H76" s="653"/>
      <c r="I76" s="658" t="s">
        <v>1260</v>
      </c>
      <c r="J76" s="850"/>
      <c r="K76" s="852"/>
      <c r="L76" s="653"/>
      <c r="M76" s="653"/>
      <c r="N76" s="653"/>
      <c r="O76" s="653"/>
      <c r="P76" s="653"/>
      <c r="Q76" s="653"/>
      <c r="R76" s="653"/>
      <c r="S76" s="653"/>
      <c r="T76" s="653"/>
      <c r="U76" s="653"/>
      <c r="V76" s="653"/>
      <c r="W76" s="762" t="s">
        <v>1261</v>
      </c>
      <c r="X76" s="827"/>
      <c r="Y76" s="828"/>
      <c r="Z76" s="653"/>
      <c r="AA76" s="653"/>
      <c r="AB76" s="653"/>
      <c r="AC76" s="652"/>
      <c r="AD76" s="652"/>
      <c r="AF76" s="683"/>
    </row>
    <row r="77" spans="1:38" s="664" customFormat="1" ht="13.5" hidden="1" customHeight="1" x14ac:dyDescent="0.15">
      <c r="A77" s="653"/>
      <c r="B77" s="653"/>
      <c r="C77" s="653"/>
      <c r="D77" s="653"/>
      <c r="E77" s="653"/>
      <c r="F77" s="653"/>
      <c r="G77" s="653"/>
      <c r="H77" s="653"/>
      <c r="I77" s="658" t="s">
        <v>1262</v>
      </c>
      <c r="J77" s="850"/>
      <c r="K77" s="852"/>
      <c r="L77" s="653"/>
      <c r="M77" s="653"/>
      <c r="N77" s="653"/>
      <c r="O77" s="653"/>
      <c r="P77" s="653"/>
      <c r="Q77" s="653"/>
      <c r="R77" s="653"/>
      <c r="S77" s="653"/>
      <c r="T77" s="653"/>
      <c r="U77" s="653"/>
      <c r="V77" s="653"/>
      <c r="W77" s="658" t="s">
        <v>1263</v>
      </c>
      <c r="X77" s="827"/>
      <c r="Y77" s="828"/>
      <c r="Z77" s="653"/>
      <c r="AA77" s="653"/>
      <c r="AB77" s="653"/>
      <c r="AC77" s="652"/>
      <c r="AD77" s="652"/>
      <c r="AE77" s="683"/>
    </row>
    <row r="78" spans="1:38" s="664" customFormat="1" ht="13.5" hidden="1" customHeight="1" x14ac:dyDescent="0.15">
      <c r="A78" s="653"/>
      <c r="B78" s="653"/>
      <c r="C78" s="653"/>
      <c r="D78" s="653"/>
      <c r="E78" s="653"/>
      <c r="F78" s="653"/>
      <c r="G78" s="680"/>
      <c r="H78" s="680"/>
      <c r="I78" s="658" t="s">
        <v>1264</v>
      </c>
      <c r="J78" s="850"/>
      <c r="K78" s="852"/>
      <c r="L78" s="653"/>
      <c r="M78" s="653"/>
      <c r="N78" s="653"/>
      <c r="O78" s="653"/>
      <c r="P78" s="653"/>
      <c r="Q78" s="653"/>
      <c r="R78" s="653"/>
      <c r="S78" s="756"/>
      <c r="T78" s="756"/>
      <c r="U78" s="756"/>
      <c r="V78" s="653"/>
      <c r="W78" s="653"/>
      <c r="X78" s="653"/>
      <c r="Y78" s="653"/>
      <c r="Z78" s="756"/>
      <c r="AA78" s="665"/>
      <c r="AB78" s="653"/>
      <c r="AC78" s="652"/>
      <c r="AD78" s="652"/>
    </row>
    <row r="79" spans="1:38" s="682" customFormat="1" ht="13.5" hidden="1" customHeight="1" x14ac:dyDescent="0.2">
      <c r="A79" s="645"/>
      <c r="B79" s="645"/>
      <c r="C79" s="645"/>
      <c r="D79" s="645"/>
      <c r="E79" s="645"/>
      <c r="F79" s="645"/>
      <c r="G79" s="645"/>
      <c r="H79" s="645"/>
      <c r="I79" s="645"/>
      <c r="J79" s="653"/>
      <c r="K79" s="653"/>
      <c r="L79" s="653"/>
      <c r="M79" s="653"/>
      <c r="N79" s="645"/>
      <c r="O79" s="645"/>
      <c r="P79" s="645"/>
      <c r="Q79" s="645"/>
      <c r="R79" s="645"/>
      <c r="S79" s="645"/>
      <c r="T79" s="645"/>
      <c r="U79" s="761"/>
      <c r="V79" s="761"/>
      <c r="W79" s="761"/>
      <c r="X79" s="761"/>
      <c r="Y79" s="761"/>
      <c r="Z79" s="761"/>
      <c r="AA79" s="645"/>
      <c r="AB79" s="645"/>
      <c r="AC79" s="652"/>
      <c r="AD79" s="652"/>
      <c r="AE79" s="664"/>
      <c r="AF79" s="664"/>
      <c r="AG79" s="664"/>
      <c r="AH79" s="664"/>
      <c r="AI79" s="664"/>
      <c r="AJ79" s="664"/>
      <c r="AK79" s="664"/>
      <c r="AL79" s="664"/>
    </row>
    <row r="80" spans="1:38" ht="13.5" customHeight="1" x14ac:dyDescent="0.2">
      <c r="J80" s="653"/>
      <c r="K80" s="653"/>
      <c r="L80" s="653"/>
      <c r="M80" s="653"/>
      <c r="U80" s="761"/>
      <c r="V80" s="761"/>
      <c r="W80" s="761"/>
      <c r="X80" s="761"/>
      <c r="Y80" s="761"/>
      <c r="Z80" s="761"/>
    </row>
    <row r="81" spans="1:28" ht="13.5" customHeight="1" x14ac:dyDescent="0.2">
      <c r="A81" s="785" t="s">
        <v>1201</v>
      </c>
      <c r="B81" s="785"/>
      <c r="C81" s="785"/>
      <c r="D81" s="785"/>
      <c r="E81" s="785"/>
      <c r="F81" s="827">
        <v>480</v>
      </c>
      <c r="G81" s="828"/>
      <c r="H81" s="653" t="s">
        <v>1202</v>
      </c>
      <c r="I81" s="653"/>
      <c r="J81" s="653"/>
      <c r="K81" s="653"/>
      <c r="L81" s="653"/>
      <c r="M81" s="653"/>
      <c r="N81" s="653"/>
      <c r="O81" s="653"/>
      <c r="P81" s="652"/>
      <c r="Q81" s="652"/>
      <c r="R81" s="652"/>
      <c r="S81" s="652"/>
      <c r="T81" s="652"/>
      <c r="U81" s="652"/>
      <c r="V81" s="652"/>
      <c r="W81" s="652"/>
      <c r="X81" s="652"/>
      <c r="Y81" s="652"/>
      <c r="Z81" s="652"/>
      <c r="AA81" s="652"/>
    </row>
    <row r="82" spans="1:28" s="652" customFormat="1" ht="13.5" customHeight="1" x14ac:dyDescent="0.15">
      <c r="A82" s="653"/>
      <c r="B82" s="653"/>
      <c r="C82" s="653"/>
      <c r="D82" s="653"/>
      <c r="E82" s="653"/>
      <c r="F82" s="653"/>
      <c r="G82" s="653"/>
      <c r="H82" s="653"/>
      <c r="I82" s="653"/>
      <c r="J82" s="666"/>
      <c r="N82" s="653"/>
      <c r="O82" s="653"/>
    </row>
    <row r="83" spans="1:28" s="652" customFormat="1" ht="13.5" customHeight="1" x14ac:dyDescent="0.25">
      <c r="A83" s="785" t="s">
        <v>1686</v>
      </c>
      <c r="B83" s="785"/>
      <c r="C83" s="785"/>
      <c r="D83" s="785"/>
      <c r="E83" s="785"/>
      <c r="F83" s="785"/>
      <c r="G83" s="785"/>
      <c r="H83" s="785"/>
      <c r="I83" s="785"/>
      <c r="J83" s="785"/>
      <c r="K83" s="785"/>
      <c r="L83" s="785"/>
      <c r="M83" s="785"/>
      <c r="N83" s="785"/>
      <c r="O83" s="858"/>
      <c r="P83" s="859"/>
      <c r="R83" s="662"/>
      <c r="S83" s="23"/>
    </row>
    <row r="84" spans="1:28" s="652" customFormat="1" ht="13.5" customHeight="1" x14ac:dyDescent="0.15">
      <c r="A84" s="666"/>
      <c r="B84" s="658"/>
      <c r="C84" s="658"/>
      <c r="D84" s="658"/>
      <c r="E84" s="658"/>
      <c r="F84" s="658"/>
      <c r="G84" s="658"/>
      <c r="H84" s="658"/>
      <c r="I84" s="658"/>
      <c r="J84" s="658"/>
      <c r="L84" s="658"/>
      <c r="M84" s="658"/>
      <c r="N84" s="658"/>
      <c r="O84" s="658"/>
      <c r="P84" s="658"/>
      <c r="Q84" s="658"/>
      <c r="R84" s="658"/>
      <c r="S84" s="658"/>
      <c r="T84" s="658"/>
      <c r="V84" s="658"/>
      <c r="W84" s="658"/>
    </row>
    <row r="85" spans="1:28" s="652" customFormat="1" ht="13.5" customHeight="1" x14ac:dyDescent="0.15">
      <c r="A85" s="666"/>
      <c r="B85" s="658"/>
      <c r="C85" s="658"/>
      <c r="D85" s="785" t="s">
        <v>1203</v>
      </c>
      <c r="E85" s="785"/>
      <c r="F85" s="785" t="s">
        <v>1204</v>
      </c>
      <c r="G85" s="785"/>
      <c r="H85" s="786"/>
      <c r="I85" s="850"/>
      <c r="J85" s="852"/>
      <c r="K85" s="861" t="s">
        <v>1205</v>
      </c>
      <c r="L85" s="785"/>
      <c r="M85" s="786"/>
      <c r="N85" s="850"/>
      <c r="O85" s="852"/>
      <c r="T85" s="658"/>
      <c r="V85" s="658"/>
      <c r="W85" s="658"/>
    </row>
    <row r="86" spans="1:28" s="652" customFormat="1" ht="13.5" customHeight="1" x14ac:dyDescent="0.15">
      <c r="A86" s="666"/>
      <c r="B86" s="658"/>
      <c r="C86" s="658"/>
      <c r="D86" s="658"/>
      <c r="E86" s="658"/>
      <c r="F86" s="658"/>
      <c r="G86" s="658"/>
      <c r="H86" s="658"/>
      <c r="I86" s="658"/>
      <c r="J86" s="658"/>
      <c r="L86" s="658"/>
      <c r="M86" s="658"/>
      <c r="N86" s="658"/>
      <c r="O86" s="658"/>
      <c r="P86" s="658"/>
      <c r="Q86" s="658"/>
      <c r="R86" s="658"/>
      <c r="S86" s="658"/>
      <c r="T86" s="658"/>
      <c r="U86" s="658"/>
      <c r="V86" s="658"/>
      <c r="W86" s="658"/>
    </row>
    <row r="87" spans="1:28" s="652" customFormat="1" ht="13.5" customHeight="1" x14ac:dyDescent="0.25">
      <c r="A87" s="785" t="s">
        <v>1206</v>
      </c>
      <c r="B87" s="785"/>
      <c r="C87" s="785"/>
      <c r="D87" s="785"/>
      <c r="E87" s="785"/>
      <c r="F87" s="785"/>
      <c r="G87" s="785"/>
      <c r="H87" s="785"/>
      <c r="I87" s="785"/>
      <c r="J87" s="785"/>
      <c r="K87" s="858"/>
      <c r="L87" s="859"/>
      <c r="M87" s="23"/>
      <c r="O87" s="662"/>
      <c r="P87" s="23"/>
      <c r="Q87" s="658"/>
      <c r="R87" s="658"/>
      <c r="S87" s="658"/>
      <c r="T87" s="658"/>
      <c r="U87" s="658"/>
      <c r="V87" s="658"/>
      <c r="W87" s="658"/>
    </row>
    <row r="88" spans="1:28" s="652" customFormat="1" ht="13.5" customHeight="1" x14ac:dyDescent="0.25">
      <c r="A88" s="668"/>
      <c r="B88" s="669"/>
      <c r="C88" s="669"/>
      <c r="D88" s="669"/>
      <c r="E88" s="669"/>
      <c r="F88" s="669"/>
      <c r="G88" s="669"/>
      <c r="H88" s="669"/>
      <c r="I88" s="669"/>
      <c r="J88" s="670"/>
      <c r="K88" s="670"/>
      <c r="L88" s="670"/>
      <c r="M88" s="670"/>
      <c r="N88" s="23"/>
    </row>
    <row r="89" spans="1:28" s="652" customFormat="1" ht="13.5" customHeight="1" x14ac:dyDescent="0.15">
      <c r="A89" s="854" t="s">
        <v>1207</v>
      </c>
      <c r="B89" s="854"/>
      <c r="C89" s="854"/>
      <c r="D89" s="854"/>
      <c r="E89" s="854"/>
      <c r="F89" s="854"/>
      <c r="G89" s="854"/>
      <c r="H89" s="854"/>
      <c r="I89" s="854"/>
      <c r="J89" s="854"/>
      <c r="K89" s="854"/>
      <c r="L89" s="854"/>
      <c r="M89" s="854"/>
      <c r="N89" s="854"/>
      <c r="O89" s="854"/>
      <c r="P89" s="854"/>
      <c r="Q89" s="854"/>
      <c r="R89" s="854"/>
      <c r="S89" s="854"/>
      <c r="T89" s="854"/>
      <c r="U89" s="854"/>
      <c r="V89" s="854"/>
      <c r="W89" s="854"/>
      <c r="X89" s="854"/>
      <c r="Y89" s="854"/>
      <c r="Z89" s="854"/>
      <c r="AA89" s="858"/>
      <c r="AB89" s="859"/>
    </row>
    <row r="90" spans="1:28" s="652" customFormat="1" ht="13.5" customHeight="1" x14ac:dyDescent="0.15">
      <c r="A90" s="670"/>
      <c r="B90" s="670"/>
      <c r="C90" s="670"/>
      <c r="D90" s="670"/>
      <c r="E90" s="670"/>
      <c r="F90" s="662"/>
      <c r="G90" s="670"/>
      <c r="H90" s="670"/>
      <c r="I90" s="662"/>
      <c r="J90" s="670"/>
      <c r="K90" s="670"/>
      <c r="L90" s="670"/>
      <c r="M90" s="670"/>
      <c r="N90" s="670"/>
      <c r="O90" s="670"/>
      <c r="P90" s="670"/>
      <c r="Q90" s="670"/>
      <c r="R90" s="670"/>
      <c r="S90" s="670"/>
      <c r="T90" s="670"/>
      <c r="U90" s="670"/>
      <c r="V90" s="670"/>
      <c r="W90" s="670"/>
      <c r="X90" s="670"/>
      <c r="Y90" s="670"/>
      <c r="Z90" s="670"/>
    </row>
    <row r="91" spans="1:28" s="652" customFormat="1" ht="13.5" customHeight="1" x14ac:dyDescent="0.25">
      <c r="C91" s="652" t="s">
        <v>1208</v>
      </c>
      <c r="N91" s="670"/>
      <c r="O91" s="670"/>
      <c r="P91" s="670"/>
      <c r="Q91" s="670"/>
      <c r="R91" s="670"/>
      <c r="U91" s="658" t="s">
        <v>1209</v>
      </c>
      <c r="V91" s="858"/>
      <c r="W91" s="859"/>
      <c r="X91" s="23"/>
      <c r="Z91" s="662"/>
      <c r="AA91" s="23"/>
    </row>
    <row r="92" spans="1:28" s="652" customFormat="1" ht="13.5" customHeight="1" x14ac:dyDescent="0.15">
      <c r="A92" s="653"/>
      <c r="B92" s="653"/>
      <c r="C92" s="653"/>
      <c r="D92" s="653"/>
      <c r="E92" s="653"/>
      <c r="F92" s="653"/>
      <c r="G92" s="653"/>
      <c r="H92" s="653"/>
      <c r="I92" s="653"/>
      <c r="J92" s="653"/>
      <c r="K92" s="653"/>
      <c r="L92" s="653"/>
      <c r="M92" s="653"/>
      <c r="N92" s="653"/>
      <c r="P92" s="662"/>
      <c r="Q92" s="662"/>
      <c r="R92" s="662"/>
    </row>
    <row r="93" spans="1:28" s="652" customFormat="1" ht="13.5" customHeight="1" x14ac:dyDescent="0.25">
      <c r="C93" s="785" t="s">
        <v>1210</v>
      </c>
      <c r="D93" s="785"/>
      <c r="E93" s="785"/>
      <c r="F93" s="785"/>
      <c r="G93" s="785"/>
      <c r="H93" s="786"/>
      <c r="I93" s="862"/>
      <c r="J93" s="862"/>
      <c r="M93" s="785" t="s">
        <v>1211</v>
      </c>
      <c r="N93" s="785"/>
      <c r="O93" s="785"/>
      <c r="P93" s="785"/>
      <c r="Q93" s="785"/>
      <c r="R93" s="785"/>
      <c r="S93" s="858"/>
      <c r="T93" s="859"/>
      <c r="U93" s="23"/>
      <c r="W93" s="662"/>
      <c r="X93" s="23"/>
      <c r="Z93" s="662"/>
      <c r="AA93" s="23"/>
    </row>
    <row r="94" spans="1:28" s="652" customFormat="1" ht="13.5" customHeight="1" x14ac:dyDescent="0.15">
      <c r="A94" s="658"/>
      <c r="B94" s="658"/>
      <c r="C94" s="658"/>
      <c r="D94" s="658"/>
      <c r="J94" s="653"/>
      <c r="K94" s="653"/>
      <c r="L94" s="653"/>
      <c r="M94" s="653"/>
      <c r="N94" s="662"/>
      <c r="O94" s="662"/>
      <c r="P94" s="662"/>
      <c r="Q94" s="662"/>
    </row>
    <row r="95" spans="1:28" s="652" customFormat="1" ht="13.5" customHeight="1" x14ac:dyDescent="0.25">
      <c r="A95" s="785" t="s">
        <v>1212</v>
      </c>
      <c r="B95" s="785"/>
      <c r="C95" s="785"/>
      <c r="D95" s="785"/>
      <c r="E95" s="785"/>
      <c r="F95" s="785"/>
      <c r="G95" s="785"/>
      <c r="H95" s="827" t="s">
        <v>1301</v>
      </c>
      <c r="I95" s="828"/>
      <c r="K95" s="662"/>
      <c r="L95" s="23"/>
      <c r="N95" s="785" t="s">
        <v>1213</v>
      </c>
      <c r="O95" s="785"/>
      <c r="P95" s="785"/>
      <c r="Q95" s="785"/>
      <c r="R95" s="785"/>
      <c r="S95" s="785"/>
      <c r="T95" s="785"/>
      <c r="U95" s="785"/>
      <c r="V95" s="785"/>
      <c r="W95" s="785"/>
      <c r="X95" s="785"/>
      <c r="Y95" s="785"/>
      <c r="Z95" s="850"/>
      <c r="AA95" s="852"/>
    </row>
    <row r="96" spans="1:28" s="652" customFormat="1" ht="13.5" customHeight="1" x14ac:dyDescent="0.15">
      <c r="Q96" s="662"/>
      <c r="R96" s="662"/>
      <c r="S96" s="662"/>
      <c r="T96" s="662"/>
    </row>
    <row r="97" spans="1:27" s="652" customFormat="1" ht="13.5" customHeight="1" x14ac:dyDescent="0.15">
      <c r="A97" s="652" t="s">
        <v>1214</v>
      </c>
    </row>
    <row r="98" spans="1:27" s="652" customFormat="1" ht="13.5" customHeight="1" x14ac:dyDescent="0.25">
      <c r="A98" s="671"/>
      <c r="B98" s="671"/>
      <c r="C98" s="671"/>
      <c r="D98" s="671"/>
      <c r="E98" s="671"/>
      <c r="F98" s="671"/>
      <c r="G98" s="671"/>
      <c r="H98" s="671"/>
      <c r="I98" s="671"/>
      <c r="J98" s="671"/>
      <c r="K98" s="671"/>
      <c r="L98" s="671"/>
      <c r="M98" s="671"/>
      <c r="N98" s="671"/>
      <c r="O98"/>
      <c r="P98"/>
      <c r="Q98"/>
      <c r="R98"/>
      <c r="S98"/>
      <c r="T98"/>
      <c r="U98"/>
      <c r="V98"/>
      <c r="W98"/>
    </row>
    <row r="99" spans="1:27" s="652" customFormat="1" ht="13.5" customHeight="1" x14ac:dyDescent="0.15">
      <c r="A99" s="785" t="s">
        <v>1225</v>
      </c>
      <c r="B99" s="785"/>
      <c r="C99" s="785"/>
      <c r="D99" s="785"/>
      <c r="E99" s="785"/>
      <c r="F99" s="785"/>
      <c r="G99" s="785"/>
      <c r="H99" s="827" t="s">
        <v>1709</v>
      </c>
      <c r="I99" s="853"/>
      <c r="J99" s="828"/>
      <c r="K99" s="759"/>
      <c r="L99" s="759"/>
      <c r="M99" s="759"/>
      <c r="N99" s="759"/>
      <c r="O99" s="759"/>
      <c r="R99" s="785" t="s">
        <v>1215</v>
      </c>
      <c r="S99" s="785"/>
      <c r="T99" s="785"/>
      <c r="U99" s="785"/>
      <c r="V99" s="842" t="s">
        <v>1710</v>
      </c>
      <c r="W99" s="843"/>
      <c r="X99" s="843"/>
      <c r="Y99" s="844"/>
    </row>
    <row r="100" spans="1:27" s="652" customFormat="1" ht="13.5" customHeight="1" x14ac:dyDescent="0.25">
      <c r="A100" s="658"/>
      <c r="B100" s="658"/>
      <c r="C100" s="658"/>
      <c r="D100" s="658"/>
      <c r="E100" s="658"/>
      <c r="F100" s="658"/>
      <c r="G100" s="668"/>
      <c r="H100" s="668"/>
      <c r="I100" s="668"/>
      <c r="J100"/>
      <c r="L100" s="668"/>
      <c r="M100" s="668"/>
      <c r="N100" s="668"/>
    </row>
    <row r="101" spans="1:27" s="652" customFormat="1" ht="13.5" customHeight="1" x14ac:dyDescent="0.25">
      <c r="A101" s="658"/>
      <c r="B101" s="658"/>
      <c r="C101" s="658"/>
      <c r="D101" s="658"/>
      <c r="E101" s="658"/>
      <c r="F101" s="658"/>
      <c r="G101" s="658"/>
      <c r="I101" s="668"/>
      <c r="J101" s="668"/>
      <c r="K101" s="668"/>
      <c r="L101"/>
      <c r="N101" s="668"/>
      <c r="O101" s="668"/>
      <c r="P101" s="668"/>
    </row>
    <row r="102" spans="1:27" s="652" customFormat="1" ht="13.5" customHeight="1" x14ac:dyDescent="0.25">
      <c r="A102" s="658"/>
      <c r="B102" s="784" t="s">
        <v>1216</v>
      </c>
      <c r="C102" s="784"/>
      <c r="D102" s="784"/>
      <c r="E102" s="784"/>
      <c r="F102" s="784"/>
      <c r="G102" s="784"/>
      <c r="H102" s="784"/>
      <c r="I102" s="784"/>
      <c r="J102" s="784"/>
      <c r="K102" s="784"/>
      <c r="L102" s="784"/>
      <c r="M102" s="784"/>
      <c r="N102" s="784"/>
      <c r="O102" s="784"/>
      <c r="P102" s="784"/>
      <c r="Q102" s="784"/>
      <c r="R102" s="842"/>
      <c r="S102" s="844"/>
      <c r="U102" s="662"/>
      <c r="V102" s="23"/>
    </row>
    <row r="103" spans="1:27" s="652" customFormat="1" ht="13.5" customHeight="1" x14ac:dyDescent="0.15">
      <c r="A103" s="662"/>
      <c r="B103" s="662"/>
      <c r="C103" s="662"/>
      <c r="D103" s="662"/>
    </row>
    <row r="104" spans="1:27" s="652" customFormat="1" ht="13.5" customHeight="1" x14ac:dyDescent="0.15">
      <c r="A104" s="662"/>
      <c r="B104" s="662"/>
      <c r="C104" s="662"/>
      <c r="D104" s="662"/>
    </row>
    <row r="105" spans="1:27" s="652" customFormat="1" ht="13.5" customHeight="1" x14ac:dyDescent="0.15">
      <c r="A105" s="653" t="s">
        <v>1217</v>
      </c>
      <c r="B105" s="653"/>
      <c r="C105" s="653"/>
      <c r="D105" s="653"/>
      <c r="E105" s="653"/>
      <c r="F105" s="653"/>
      <c r="G105" s="653"/>
      <c r="H105" s="653"/>
      <c r="I105" s="653"/>
      <c r="J105" s="808"/>
      <c r="K105" s="870"/>
      <c r="L105" s="870"/>
      <c r="M105" s="870"/>
      <c r="N105" s="870"/>
      <c r="O105" s="870"/>
      <c r="P105" s="870"/>
      <c r="Q105" s="871"/>
    </row>
    <row r="106" spans="1:27" s="652" customFormat="1" ht="13.5" customHeight="1" x14ac:dyDescent="0.15">
      <c r="E106" s="662"/>
      <c r="F106" s="662"/>
      <c r="J106" s="869" t="s">
        <v>1218</v>
      </c>
      <c r="K106" s="869"/>
      <c r="L106" s="869"/>
      <c r="M106" s="869"/>
      <c r="N106" s="869"/>
      <c r="O106" s="869"/>
      <c r="P106" s="869"/>
      <c r="Q106" s="869"/>
    </row>
    <row r="107" spans="1:27" s="652" customFormat="1" ht="13.5" customHeight="1" x14ac:dyDescent="0.15">
      <c r="B107" s="785" t="s">
        <v>1219</v>
      </c>
      <c r="C107" s="785"/>
      <c r="D107" s="785"/>
      <c r="E107" s="785"/>
      <c r="F107" s="786"/>
      <c r="G107" s="808"/>
      <c r="H107" s="809"/>
      <c r="I107" s="810"/>
      <c r="L107" s="785" t="s">
        <v>1220</v>
      </c>
      <c r="M107" s="785"/>
      <c r="N107" s="785"/>
      <c r="O107" s="785"/>
      <c r="P107" s="785"/>
      <c r="Q107" s="785"/>
      <c r="R107" s="785"/>
      <c r="S107" s="785"/>
      <c r="T107" s="785"/>
      <c r="U107" s="785"/>
      <c r="V107" s="785"/>
      <c r="W107" s="786"/>
      <c r="X107" s="866"/>
      <c r="Y107" s="867"/>
      <c r="Z107" s="868"/>
    </row>
    <row r="108" spans="1:27" s="652" customFormat="1" ht="13.5" customHeight="1" x14ac:dyDescent="0.15">
      <c r="G108" s="869" t="s">
        <v>1136</v>
      </c>
      <c r="H108" s="869"/>
      <c r="I108" s="869"/>
      <c r="L108" s="785" t="s">
        <v>1221</v>
      </c>
      <c r="M108" s="785"/>
      <c r="N108" s="785"/>
      <c r="O108" s="785"/>
      <c r="P108" s="785"/>
      <c r="Q108" s="785"/>
      <c r="R108" s="785"/>
      <c r="S108" s="785"/>
      <c r="T108" s="785"/>
      <c r="U108" s="785"/>
      <c r="V108" s="785"/>
      <c r="W108" s="786"/>
      <c r="X108" s="866"/>
      <c r="Y108" s="867"/>
      <c r="Z108" s="868"/>
    </row>
    <row r="109" spans="1:27" s="652" customFormat="1" ht="13.5" customHeight="1" x14ac:dyDescent="0.15">
      <c r="A109" s="657" t="s">
        <v>1222</v>
      </c>
      <c r="B109" s="657"/>
      <c r="C109" s="657"/>
      <c r="D109" s="657"/>
      <c r="H109" s="672"/>
      <c r="X109" s="869" t="s">
        <v>1136</v>
      </c>
      <c r="Y109" s="869"/>
      <c r="Z109" s="869"/>
    </row>
    <row r="110" spans="1:27" s="652" customFormat="1" ht="13.5" customHeight="1" x14ac:dyDescent="0.15">
      <c r="A110" s="865" t="s">
        <v>1711</v>
      </c>
      <c r="B110" s="865"/>
      <c r="C110" s="865"/>
      <c r="D110" s="865"/>
      <c r="E110" s="865"/>
      <c r="F110" s="865"/>
      <c r="G110" s="865"/>
      <c r="H110" s="865"/>
      <c r="I110" s="865"/>
      <c r="J110" s="865"/>
      <c r="K110" s="865"/>
      <c r="L110" s="865"/>
      <c r="M110" s="865"/>
      <c r="N110" s="865"/>
      <c r="O110" s="865"/>
      <c r="P110" s="865"/>
      <c r="Q110" s="865"/>
      <c r="R110" s="865"/>
      <c r="S110" s="865"/>
      <c r="T110" s="865"/>
      <c r="U110" s="865"/>
      <c r="V110" s="865"/>
      <c r="W110" s="865"/>
      <c r="X110" s="865"/>
      <c r="Y110" s="865"/>
      <c r="Z110" s="865"/>
      <c r="AA110" s="865"/>
    </row>
    <row r="111" spans="1:27" s="652" customFormat="1" ht="13.5" customHeight="1" x14ac:dyDescent="0.15">
      <c r="A111" s="863" t="s">
        <v>1712</v>
      </c>
      <c r="B111" s="863"/>
      <c r="C111" s="863"/>
      <c r="D111" s="863"/>
      <c r="E111" s="863"/>
      <c r="F111" s="863"/>
      <c r="G111" s="863"/>
      <c r="H111" s="863"/>
      <c r="I111" s="863"/>
      <c r="J111" s="863"/>
      <c r="K111" s="863"/>
      <c r="L111" s="863"/>
      <c r="M111" s="863"/>
      <c r="N111" s="863"/>
      <c r="O111" s="863"/>
      <c r="P111" s="863"/>
      <c r="Q111" s="863"/>
      <c r="R111" s="863"/>
      <c r="S111" s="863"/>
      <c r="T111" s="863"/>
      <c r="U111" s="863"/>
      <c r="V111" s="863"/>
      <c r="W111" s="863"/>
      <c r="X111" s="863"/>
      <c r="Y111" s="863"/>
      <c r="Z111" s="863"/>
      <c r="AA111" s="863"/>
    </row>
    <row r="112" spans="1:27" s="652" customFormat="1" ht="13.5" customHeight="1" x14ac:dyDescent="0.15">
      <c r="A112" s="863" t="s">
        <v>1713</v>
      </c>
      <c r="B112" s="863"/>
      <c r="C112" s="863"/>
      <c r="D112" s="863"/>
      <c r="E112" s="863"/>
      <c r="F112" s="863"/>
      <c r="G112" s="863"/>
      <c r="H112" s="863"/>
      <c r="I112" s="863"/>
      <c r="J112" s="863"/>
      <c r="K112" s="863"/>
      <c r="L112" s="863"/>
      <c r="M112" s="863"/>
      <c r="N112" s="863"/>
      <c r="O112" s="863"/>
      <c r="P112" s="863"/>
      <c r="Q112" s="863"/>
      <c r="R112" s="863"/>
      <c r="S112" s="863"/>
      <c r="T112" s="863"/>
      <c r="U112" s="863"/>
      <c r="V112" s="863"/>
      <c r="W112" s="863"/>
      <c r="X112" s="863"/>
      <c r="Y112" s="863"/>
      <c r="Z112" s="863"/>
      <c r="AA112" s="863"/>
    </row>
    <row r="113" spans="1:27" s="652" customFormat="1" ht="13.5" customHeight="1" x14ac:dyDescent="0.15">
      <c r="A113" s="865"/>
      <c r="B113" s="865"/>
      <c r="C113" s="865"/>
      <c r="D113" s="865"/>
      <c r="E113" s="865"/>
      <c r="F113" s="865"/>
      <c r="G113" s="865"/>
      <c r="H113" s="865"/>
      <c r="I113" s="865"/>
      <c r="J113" s="865"/>
      <c r="K113" s="865"/>
      <c r="L113" s="865"/>
      <c r="M113" s="865"/>
      <c r="N113" s="865"/>
      <c r="O113" s="865"/>
      <c r="P113" s="865"/>
      <c r="Q113" s="865"/>
      <c r="R113" s="865"/>
      <c r="S113" s="865"/>
      <c r="T113" s="865"/>
      <c r="U113" s="865"/>
      <c r="V113" s="865"/>
      <c r="W113" s="865"/>
      <c r="X113" s="865"/>
      <c r="Y113" s="865"/>
      <c r="Z113" s="865"/>
      <c r="AA113" s="865"/>
    </row>
    <row r="114" spans="1:27" s="652" customFormat="1" ht="13.5" customHeight="1" x14ac:dyDescent="0.15">
      <c r="A114" s="865"/>
      <c r="B114" s="865"/>
      <c r="C114" s="865"/>
      <c r="D114" s="865"/>
      <c r="E114" s="865"/>
      <c r="F114" s="865"/>
      <c r="G114" s="865"/>
      <c r="H114" s="865"/>
      <c r="I114" s="865"/>
      <c r="J114" s="865"/>
      <c r="K114" s="865"/>
      <c r="L114" s="865"/>
      <c r="M114" s="865"/>
      <c r="N114" s="865"/>
      <c r="O114" s="865"/>
      <c r="P114" s="865"/>
      <c r="Q114" s="865"/>
      <c r="R114" s="865"/>
      <c r="S114" s="865"/>
      <c r="T114" s="865"/>
      <c r="U114" s="865"/>
      <c r="V114" s="865"/>
      <c r="W114" s="865"/>
      <c r="X114" s="865"/>
      <c r="Y114" s="865"/>
      <c r="Z114" s="865"/>
      <c r="AA114" s="865"/>
    </row>
    <row r="115" spans="1:27" s="652" customFormat="1" ht="13.5" customHeight="1" x14ac:dyDescent="0.15">
      <c r="A115" s="863"/>
      <c r="B115" s="863"/>
      <c r="C115" s="863"/>
      <c r="D115" s="863"/>
      <c r="E115" s="863"/>
      <c r="F115" s="863"/>
      <c r="G115" s="863"/>
      <c r="H115" s="863"/>
      <c r="I115" s="863"/>
      <c r="J115" s="863"/>
      <c r="K115" s="863"/>
      <c r="L115" s="863"/>
      <c r="M115" s="863"/>
      <c r="N115" s="863"/>
      <c r="O115" s="863"/>
      <c r="P115" s="863"/>
      <c r="Q115" s="863"/>
      <c r="R115" s="863"/>
      <c r="S115" s="863"/>
      <c r="T115" s="863"/>
      <c r="U115" s="863"/>
      <c r="V115" s="863"/>
      <c r="W115" s="863"/>
      <c r="X115" s="863"/>
      <c r="Y115" s="863"/>
      <c r="Z115" s="863"/>
      <c r="AA115" s="863"/>
    </row>
    <row r="116" spans="1:27" s="652" customFormat="1" ht="13.5" customHeight="1" x14ac:dyDescent="0.15">
      <c r="A116" s="865"/>
      <c r="B116" s="865"/>
      <c r="C116" s="865"/>
      <c r="D116" s="865"/>
      <c r="E116" s="865"/>
      <c r="F116" s="865"/>
      <c r="G116" s="865"/>
      <c r="H116" s="865"/>
      <c r="I116" s="865"/>
      <c r="J116" s="865"/>
      <c r="K116" s="865"/>
      <c r="L116" s="865"/>
      <c r="M116" s="865"/>
      <c r="N116" s="865"/>
      <c r="O116" s="865"/>
      <c r="P116" s="865"/>
      <c r="Q116" s="865"/>
      <c r="R116" s="865"/>
      <c r="S116" s="865"/>
      <c r="T116" s="865"/>
      <c r="U116" s="865"/>
      <c r="V116" s="865"/>
      <c r="W116" s="865"/>
      <c r="X116" s="865"/>
      <c r="Y116" s="865"/>
      <c r="Z116" s="865"/>
      <c r="AA116" s="865"/>
    </row>
    <row r="117" spans="1:27" s="652" customFormat="1" ht="13.5" customHeight="1" x14ac:dyDescent="0.15">
      <c r="A117" s="863"/>
      <c r="B117" s="863"/>
      <c r="C117" s="863"/>
      <c r="D117" s="863"/>
      <c r="E117" s="863"/>
      <c r="F117" s="863"/>
      <c r="G117" s="863"/>
      <c r="H117" s="863"/>
      <c r="I117" s="863"/>
      <c r="J117" s="863"/>
      <c r="K117" s="863"/>
      <c r="L117" s="863"/>
      <c r="M117" s="863"/>
      <c r="N117" s="863"/>
      <c r="O117" s="863"/>
      <c r="P117" s="863"/>
      <c r="Q117" s="863"/>
      <c r="R117" s="863"/>
      <c r="S117" s="863"/>
      <c r="T117" s="863"/>
      <c r="U117" s="863"/>
      <c r="V117" s="863"/>
      <c r="W117" s="863"/>
      <c r="X117" s="863"/>
      <c r="Y117" s="863"/>
      <c r="Z117" s="863"/>
      <c r="AA117" s="863"/>
    </row>
    <row r="118" spans="1:27" s="652" customFormat="1" ht="13.5" customHeight="1" x14ac:dyDescent="0.15"/>
    <row r="119" spans="1:27" s="652" customFormat="1" ht="13.5" customHeight="1" x14ac:dyDescent="0.15">
      <c r="AA119" s="665" t="s">
        <v>1420</v>
      </c>
    </row>
    <row r="120" spans="1:27" s="652" customFormat="1" ht="13.5" customHeight="1" x14ac:dyDescent="0.15"/>
    <row r="121" spans="1:27" s="652" customFormat="1" ht="13.5" customHeight="1" x14ac:dyDescent="0.15"/>
    <row r="122" spans="1:27" s="652" customFormat="1" ht="13.5" customHeight="1" x14ac:dyDescent="0.15"/>
    <row r="123" spans="1:27" s="652" customFormat="1" ht="13.5" customHeight="1" x14ac:dyDescent="0.15"/>
    <row r="124" spans="1:27" s="652" customFormat="1" ht="13.5" customHeight="1" x14ac:dyDescent="0.15"/>
    <row r="125" spans="1:27" s="652" customFormat="1" ht="13.5" customHeight="1" x14ac:dyDescent="0.15"/>
    <row r="126" spans="1:27" s="652" customFormat="1" ht="13.5" customHeight="1" x14ac:dyDescent="0.15"/>
    <row r="127" spans="1:27" s="652" customFormat="1" ht="11.25" x14ac:dyDescent="0.15"/>
    <row r="128" spans="1:27" s="652" customFormat="1" ht="11.25" x14ac:dyDescent="0.15"/>
    <row r="129" spans="5:27" s="652" customFormat="1" ht="11.25" x14ac:dyDescent="0.15"/>
    <row r="130" spans="5:27" s="652" customFormat="1" ht="11.25" x14ac:dyDescent="0.15"/>
    <row r="131" spans="5:27" s="652" customFormat="1" ht="11.25" x14ac:dyDescent="0.15"/>
    <row r="132" spans="5:27" s="652" customFormat="1" ht="11.25" x14ac:dyDescent="0.15"/>
    <row r="133" spans="5:27" s="652" customFormat="1" ht="11.25" x14ac:dyDescent="0.15"/>
    <row r="134" spans="5:27" s="652" customFormat="1" ht="11.25" x14ac:dyDescent="0.15"/>
    <row r="135" spans="5:27" s="652" customFormat="1" ht="11.25" x14ac:dyDescent="0.15"/>
    <row r="136" spans="5:27" s="652" customFormat="1" ht="11.25" x14ac:dyDescent="0.15"/>
    <row r="137" spans="5:27" s="652" customFormat="1" ht="11.25" x14ac:dyDescent="0.15"/>
    <row r="138" spans="5:27" s="652" customFormat="1" x14ac:dyDescent="0.2">
      <c r="E138" s="645"/>
      <c r="F138" s="645"/>
      <c r="G138" s="645"/>
      <c r="H138" s="645"/>
      <c r="I138" s="645"/>
      <c r="J138" s="645"/>
      <c r="K138" s="645"/>
      <c r="L138" s="645"/>
      <c r="M138" s="645"/>
      <c r="N138" s="645"/>
      <c r="O138" s="645"/>
      <c r="P138" s="645"/>
      <c r="Q138" s="645"/>
      <c r="R138" s="645"/>
      <c r="S138" s="645"/>
      <c r="T138" s="645"/>
      <c r="U138" s="645"/>
      <c r="V138" s="645"/>
      <c r="W138" s="645"/>
      <c r="X138" s="645"/>
      <c r="Y138" s="645"/>
      <c r="Z138" s="645"/>
      <c r="AA138" s="645"/>
    </row>
  </sheetData>
  <sheetProtection algorithmName="SHA-512" hashValue="cPUBuCaf0EfiFV7TjnPnNnFRNo4ARewGuNivKCu7VZ2q5WAb0Gyxdd0JluxIu5VIbxe8ARVB3EHKGN3NP2Q/FA==" saltValue="izgP8y9Mft7R7JS/Wh4QBQ==" spinCount="100000" sheet="1" formatRows="0"/>
  <sortState xmlns:xlrd2="http://schemas.microsoft.com/office/spreadsheetml/2017/richdata2" ref="AL18:AM26">
    <sortCondition ref="AL18:AL26"/>
  </sortState>
  <mergeCells count="195">
    <mergeCell ref="A117:AA117"/>
    <mergeCell ref="A16:E16"/>
    <mergeCell ref="N16:R16"/>
    <mergeCell ref="Q35:R35"/>
    <mergeCell ref="S52:T52"/>
    <mergeCell ref="K87:L87"/>
    <mergeCell ref="V91:W91"/>
    <mergeCell ref="S93:T93"/>
    <mergeCell ref="H95:I95"/>
    <mergeCell ref="A111:AA111"/>
    <mergeCell ref="A112:AA112"/>
    <mergeCell ref="A113:AA113"/>
    <mergeCell ref="A114:AA114"/>
    <mergeCell ref="A115:AA115"/>
    <mergeCell ref="A116:AA116"/>
    <mergeCell ref="X107:Z107"/>
    <mergeCell ref="G108:I108"/>
    <mergeCell ref="L108:W108"/>
    <mergeCell ref="X108:Z108"/>
    <mergeCell ref="X109:Z109"/>
    <mergeCell ref="A110:AA110"/>
    <mergeCell ref="B102:Q102"/>
    <mergeCell ref="J105:Q105"/>
    <mergeCell ref="J106:Q106"/>
    <mergeCell ref="B107:F107"/>
    <mergeCell ref="G107:I107"/>
    <mergeCell ref="L107:W107"/>
    <mergeCell ref="A99:G99"/>
    <mergeCell ref="H99:J99"/>
    <mergeCell ref="R99:U99"/>
    <mergeCell ref="V99:Y99"/>
    <mergeCell ref="R102:S102"/>
    <mergeCell ref="A87:J87"/>
    <mergeCell ref="A89:Z89"/>
    <mergeCell ref="C93:H93"/>
    <mergeCell ref="I93:J93"/>
    <mergeCell ref="M93:R93"/>
    <mergeCell ref="A95:G95"/>
    <mergeCell ref="N95:Y95"/>
    <mergeCell ref="Z95:AA95"/>
    <mergeCell ref="AA89:AB89"/>
    <mergeCell ref="U71:Z71"/>
    <mergeCell ref="A81:E81"/>
    <mergeCell ref="F81:G81"/>
    <mergeCell ref="A83:N83"/>
    <mergeCell ref="D85:E85"/>
    <mergeCell ref="F85:H85"/>
    <mergeCell ref="I85:J85"/>
    <mergeCell ref="K85:M85"/>
    <mergeCell ref="N85:O85"/>
    <mergeCell ref="O83:P83"/>
    <mergeCell ref="J76:K76"/>
    <mergeCell ref="X76:Y76"/>
    <mergeCell ref="J77:K77"/>
    <mergeCell ref="X77:Y77"/>
    <mergeCell ref="J78:K78"/>
    <mergeCell ref="J75:K75"/>
    <mergeCell ref="X75:Y75"/>
    <mergeCell ref="K73:N73"/>
    <mergeCell ref="A70:F70"/>
    <mergeCell ref="G70:H70"/>
    <mergeCell ref="I70:K70"/>
    <mergeCell ref="L70:M70"/>
    <mergeCell ref="T70:Y70"/>
    <mergeCell ref="Z70:AA70"/>
    <mergeCell ref="Z68:AA68"/>
    <mergeCell ref="A69:F69"/>
    <mergeCell ref="G69:H69"/>
    <mergeCell ref="I69:K69"/>
    <mergeCell ref="L69:M69"/>
    <mergeCell ref="U69:Z69"/>
    <mergeCell ref="A68:F68"/>
    <mergeCell ref="G68:H68"/>
    <mergeCell ref="I68:K68"/>
    <mergeCell ref="L68:M68"/>
    <mergeCell ref="T68:Y68"/>
    <mergeCell ref="A60:F60"/>
    <mergeCell ref="G60:I60"/>
    <mergeCell ref="L60:O60"/>
    <mergeCell ref="P60:R60"/>
    <mergeCell ref="S60:U60"/>
    <mergeCell ref="W60:Y60"/>
    <mergeCell ref="A65:D65"/>
    <mergeCell ref="F65:I65"/>
    <mergeCell ref="Z60:AA60"/>
    <mergeCell ref="A61:F61"/>
    <mergeCell ref="G61:I61"/>
    <mergeCell ref="J61:R61"/>
    <mergeCell ref="S61:U61"/>
    <mergeCell ref="A62:F62"/>
    <mergeCell ref="G62:I62"/>
    <mergeCell ref="Y38:AA38"/>
    <mergeCell ref="A39:H39"/>
    <mergeCell ref="I39:J39"/>
    <mergeCell ref="S39:X39"/>
    <mergeCell ref="Y39:AA39"/>
    <mergeCell ref="A52:R52"/>
    <mergeCell ref="Y57:Z57"/>
    <mergeCell ref="B58:F58"/>
    <mergeCell ref="I58:L58"/>
    <mergeCell ref="P58:U58"/>
    <mergeCell ref="A38:H38"/>
    <mergeCell ref="I38:J38"/>
    <mergeCell ref="K38:N38"/>
    <mergeCell ref="O38:R38"/>
    <mergeCell ref="S38:X38"/>
    <mergeCell ref="A54:I54"/>
    <mergeCell ref="J54:Q54"/>
    <mergeCell ref="A56:D56"/>
    <mergeCell ref="B57:F57"/>
    <mergeCell ref="I57:L57"/>
    <mergeCell ref="P57:U57"/>
    <mergeCell ref="A47:H47"/>
    <mergeCell ref="I47:J47"/>
    <mergeCell ref="K47:N47"/>
    <mergeCell ref="O47:R47"/>
    <mergeCell ref="S47:X47"/>
    <mergeCell ref="Y47:AA47"/>
    <mergeCell ref="A48:H48"/>
    <mergeCell ref="I48:J48"/>
    <mergeCell ref="S48:X48"/>
    <mergeCell ref="Y48:AA48"/>
    <mergeCell ref="A41:H41"/>
    <mergeCell ref="I41:J41"/>
    <mergeCell ref="K41:N41"/>
    <mergeCell ref="O41:R41"/>
    <mergeCell ref="S41:X41"/>
    <mergeCell ref="Y41:AA41"/>
    <mergeCell ref="A42:H42"/>
    <mergeCell ref="I42:J42"/>
    <mergeCell ref="S42:X42"/>
    <mergeCell ref="Y42:AA42"/>
    <mergeCell ref="I44:J44"/>
    <mergeCell ref="K44:N44"/>
    <mergeCell ref="O44:R44"/>
    <mergeCell ref="S44:X44"/>
    <mergeCell ref="Y44:AA44"/>
    <mergeCell ref="A45:H45"/>
    <mergeCell ref="I45:J45"/>
    <mergeCell ref="S45:X45"/>
    <mergeCell ref="Y45:AA45"/>
    <mergeCell ref="A18:L18"/>
    <mergeCell ref="N18:Z18"/>
    <mergeCell ref="A13:E13"/>
    <mergeCell ref="F13:M13"/>
    <mergeCell ref="N13:R13"/>
    <mergeCell ref="S13:AA13"/>
    <mergeCell ref="A14:E14"/>
    <mergeCell ref="F14:M14"/>
    <mergeCell ref="N14:R14"/>
    <mergeCell ref="S14:AA14"/>
    <mergeCell ref="F16:M16"/>
    <mergeCell ref="S16:AA16"/>
    <mergeCell ref="G20:N20"/>
    <mergeCell ref="G21:N21"/>
    <mergeCell ref="G22:N22"/>
    <mergeCell ref="A20:F20"/>
    <mergeCell ref="A21:F21"/>
    <mergeCell ref="A22:F22"/>
    <mergeCell ref="A24:F24"/>
    <mergeCell ref="A25:F25"/>
    <mergeCell ref="G25:I25"/>
    <mergeCell ref="N25:S25"/>
    <mergeCell ref="A10:E10"/>
    <mergeCell ref="F10:M10"/>
    <mergeCell ref="N10:R10"/>
    <mergeCell ref="S10:AA10"/>
    <mergeCell ref="A11:E11"/>
    <mergeCell ref="F11:M11"/>
    <mergeCell ref="N11:R11"/>
    <mergeCell ref="S11:AA11"/>
    <mergeCell ref="F3:V3"/>
    <mergeCell ref="F4:W5"/>
    <mergeCell ref="W7:X7"/>
    <mergeCell ref="Y7:AA7"/>
    <mergeCell ref="Y8:AA8"/>
    <mergeCell ref="A9:E9"/>
    <mergeCell ref="F9:M9"/>
    <mergeCell ref="N9:R9"/>
    <mergeCell ref="S9:AA9"/>
    <mergeCell ref="B35:P35"/>
    <mergeCell ref="A44:H44"/>
    <mergeCell ref="T25:V25"/>
    <mergeCell ref="A26:F26"/>
    <mergeCell ref="G26:I26"/>
    <mergeCell ref="L26:S26"/>
    <mergeCell ref="T26:V26"/>
    <mergeCell ref="A27:F27"/>
    <mergeCell ref="G27:I27"/>
    <mergeCell ref="L27:S27"/>
    <mergeCell ref="T27:V27"/>
    <mergeCell ref="B33:P33"/>
    <mergeCell ref="Q33:R33"/>
    <mergeCell ref="B31:P31"/>
    <mergeCell ref="Q31:R31"/>
  </mergeCells>
  <conditionalFormatting sqref="T25:V25">
    <cfRule type="cellIs" priority="2" stopIfTrue="1" operator="equal">
      <formula>0</formula>
    </cfRule>
    <cfRule type="cellIs" dxfId="394" priority="6" operator="greaterThanOrEqual">
      <formula>$G$27</formula>
    </cfRule>
  </conditionalFormatting>
  <conditionalFormatting sqref="I45 I42 I48 I39">
    <cfRule type="cellIs" dxfId="393" priority="4" operator="lessThan">
      <formula>MinCoilWidth</formula>
    </cfRule>
  </conditionalFormatting>
  <conditionalFormatting sqref="I42 I45 I48 I39">
    <cfRule type="cellIs" dxfId="392" priority="3" operator="greaterThan">
      <formula>MaxCoilWidth</formula>
    </cfRule>
  </conditionalFormatting>
  <conditionalFormatting sqref="L68:M70">
    <cfRule type="cellIs" dxfId="391" priority="1" operator="greaterThan">
      <formula>PressMaxSPM</formula>
    </cfRule>
  </conditionalFormatting>
  <dataValidations count="11">
    <dataValidation type="list" allowBlank="1" showInputMessage="1" showErrorMessage="1" sqref="O44:R44 O41:R41 O47:R47 O38:R38" xr:uid="{55DCA01A-E6A2-49CB-A606-F274081D0114}">
      <formula1>RFQMaterialList</formula1>
    </dataValidation>
    <dataValidation type="list" allowBlank="1" showInputMessage="1" showErrorMessage="1" sqref="M18" xr:uid="{C2AB8A95-CFA9-41A1-A7B6-5562F9FC92E8}">
      <formula1>"1,2,3,4,5,6,7"</formula1>
    </dataValidation>
    <dataValidation type="list" allowBlank="1" showInputMessage="1" showErrorMessage="1" sqref="AA18" xr:uid="{AF30C088-1092-4C44-8BA2-7F30EB0A1D17}">
      <formula1>"1,2,3"</formula1>
    </dataValidation>
    <dataValidation type="list" allowBlank="1" showInputMessage="1" showErrorMessage="1" sqref="Q31:R31 S52:T52 K87:L87 V91:W91 H95:I95 R102:S102 AA89:AB89 O83:P83 Q33:R33 Q35:R35" xr:uid="{7D9622DE-A847-4597-9DBF-12C3E09972C3}">
      <formula1>"Yes,No"</formula1>
    </dataValidation>
    <dataValidation type="list" allowBlank="1" showInputMessage="1" showErrorMessage="1" sqref="S93:T93" xr:uid="{A3D395B3-900F-4C57-83A8-71642DE5BF7D}">
      <formula1>"Yes,No,TBD"</formula1>
    </dataValidation>
    <dataValidation type="list" allowBlank="1" showInputMessage="1" showErrorMessage="1" sqref="H99" xr:uid="{9D679269-DEC1-4621-8C79-BC52C6DAA444}">
      <formula1>"Right to Left,Left to Right"</formula1>
    </dataValidation>
    <dataValidation type="list" allowBlank="1" showInputMessage="1" showErrorMessage="1" sqref="V99:Y99" xr:uid="{224FC5E3-BE7F-4BC0-BCDE-5646D73B0420}">
      <formula1>"Operator Side,Non-Operator Side"</formula1>
    </dataValidation>
    <dataValidation type="list" allowBlank="1" showInputMessage="1" showErrorMessage="1" sqref="G22" xr:uid="{B5DB8967-F731-4861-AB45-B7D5797E617B}">
      <formula1>ListPullThruChoice</formula1>
    </dataValidation>
    <dataValidation type="list" allowBlank="1" showInputMessage="1" showErrorMessage="1" sqref="K73:N73" xr:uid="{74EA6A8D-532F-4919-8715-0AC6D7C9E01E}">
      <formula1>"Not Important,Important,Very Important"</formula1>
    </dataValidation>
    <dataValidation type="list" allowBlank="1" showInputMessage="1" showErrorMessage="1" sqref="G20" xr:uid="{0377D0EA-CD0D-44D4-A53E-4226B3040786}">
      <formula1>ListLineApplication</formula1>
    </dataValidation>
    <dataValidation type="list" allowBlank="1" showInputMessage="1" showErrorMessage="1" sqref="G21" xr:uid="{C01F1FB3-BC3B-48DC-A819-7A4D33411D62}">
      <formula1>ListLineType</formula1>
    </dataValidation>
  </dataValidations>
  <pageMargins left="0.25" right="0.25" top="0.75" bottom="0.75" header="0.3" footer="0.3"/>
  <pageSetup scale="93" fitToHeight="0" orientation="portrait" r:id="rId1"/>
  <rowBreaks count="1" manualBreakCount="1">
    <brk id="55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7169" r:id="rId4" name="Check Box 17">
              <controlPr defaultSize="0" autoFill="0" autoLine="0" autoPict="0">
                <anchor moveWithCells="1" sizeWithCells="1">
                  <from>
                    <xdr:col>5</xdr:col>
                    <xdr:colOff>257175</xdr:colOff>
                    <xdr:row>56</xdr:row>
                    <xdr:rowOff>161925</xdr:rowOff>
                  </from>
                  <to>
                    <xdr:col>6</xdr:col>
                    <xdr:colOff>200025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70" r:id="rId5" name="Check Box 18">
              <controlPr defaultSize="0" autoFill="0" autoLine="0" autoPict="0">
                <anchor moveWithCells="1" sizeWithCells="1">
                  <from>
                    <xdr:col>5</xdr:col>
                    <xdr:colOff>257175</xdr:colOff>
                    <xdr:row>55</xdr:row>
                    <xdr:rowOff>152400</xdr:rowOff>
                  </from>
                  <to>
                    <xdr:col>6</xdr:col>
                    <xdr:colOff>200025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71" r:id="rId6" name="Check Box 19">
              <controlPr defaultSize="0" autoFill="0" autoLine="0" autoPict="0">
                <anchor moveWithCells="1" sizeWithCells="1">
                  <from>
                    <xdr:col>12</xdr:col>
                    <xdr:colOff>9525</xdr:colOff>
                    <xdr:row>56</xdr:row>
                    <xdr:rowOff>152400</xdr:rowOff>
                  </from>
                  <to>
                    <xdr:col>12</xdr:col>
                    <xdr:colOff>209550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72" r:id="rId7" name="Check Box 20">
              <controlPr defaultSize="0" autoFill="0" autoLine="0" autoPict="0">
                <anchor moveWithCells="1" sizeWithCells="1">
                  <from>
                    <xdr:col>12</xdr:col>
                    <xdr:colOff>9525</xdr:colOff>
                    <xdr:row>55</xdr:row>
                    <xdr:rowOff>152400</xdr:rowOff>
                  </from>
                  <to>
                    <xdr:col>12</xdr:col>
                    <xdr:colOff>209550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73" r:id="rId8" name="Check Box 21">
              <controlPr defaultSize="0" autoFill="0" autoLine="0" autoPict="0">
                <anchor moveWithCells="1" sizeWithCells="1">
                  <from>
                    <xdr:col>25</xdr:col>
                    <xdr:colOff>238125</xdr:colOff>
                    <xdr:row>55</xdr:row>
                    <xdr:rowOff>152400</xdr:rowOff>
                  </from>
                  <to>
                    <xdr:col>26</xdr:col>
                    <xdr:colOff>180975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74" r:id="rId9" name="Check Box 22">
              <controlPr defaultSize="0" autoFill="0" autoLine="0" autoPict="0">
                <anchor moveWithCells="1" sizeWithCells="1">
                  <from>
                    <xdr:col>21</xdr:col>
                    <xdr:colOff>0</xdr:colOff>
                    <xdr:row>55</xdr:row>
                    <xdr:rowOff>161925</xdr:rowOff>
                  </from>
                  <to>
                    <xdr:col>21</xdr:col>
                    <xdr:colOff>200025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75" r:id="rId10" name="Check Box 23">
              <controlPr defaultSize="0" autoFill="0" autoLine="0" autoPict="0">
                <anchor moveWithCells="1" sizeWithCells="1">
                  <from>
                    <xdr:col>21</xdr:col>
                    <xdr:colOff>0</xdr:colOff>
                    <xdr:row>56</xdr:row>
                    <xdr:rowOff>152400</xdr:rowOff>
                  </from>
                  <to>
                    <xdr:col>21</xdr:col>
                    <xdr:colOff>200025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89" r:id="rId11" name="Check Box 37">
              <controlPr locked="0" defaultSize="0" autoFill="0" autoLine="0" autoPict="0">
                <anchor moveWithCells="1" sizeWithCells="1">
                  <from>
                    <xdr:col>9</xdr:col>
                    <xdr:colOff>9525</xdr:colOff>
                    <xdr:row>63</xdr:row>
                    <xdr:rowOff>161925</xdr:rowOff>
                  </from>
                  <to>
                    <xdr:col>9</xdr:col>
                    <xdr:colOff>209550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90" r:id="rId12" name="Check Box 38">
              <controlPr locked="0" defaultSize="0" autoFill="0" autoLine="0" autoPict="0">
                <anchor moveWithCells="1" sizeWithCells="1">
                  <from>
                    <xdr:col>15</xdr:col>
                    <xdr:colOff>28575</xdr:colOff>
                    <xdr:row>63</xdr:row>
                    <xdr:rowOff>152400</xdr:rowOff>
                  </from>
                  <to>
                    <xdr:col>15</xdr:col>
                    <xdr:colOff>228600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91" r:id="rId13" name="Check Box 39">
              <controlPr locked="0" defaultSize="0" autoFill="0" autoLine="0" autoPict="0">
                <anchor moveWithCells="1" sizeWithCells="1">
                  <from>
                    <xdr:col>21</xdr:col>
                    <xdr:colOff>38100</xdr:colOff>
                    <xdr:row>63</xdr:row>
                    <xdr:rowOff>152400</xdr:rowOff>
                  </from>
                  <to>
                    <xdr:col>21</xdr:col>
                    <xdr:colOff>238125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39" r:id="rId14" name="Check Box 87">
              <controlPr defaultSize="0" autoFill="0" autoLine="0" autoPict="0">
                <anchor moveWithCells="1" sizeWithCells="1">
                  <from>
                    <xdr:col>12</xdr:col>
                    <xdr:colOff>28575</xdr:colOff>
                    <xdr:row>27</xdr:row>
                    <xdr:rowOff>152400</xdr:rowOff>
                  </from>
                  <to>
                    <xdr:col>12</xdr:col>
                    <xdr:colOff>228600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40" r:id="rId15" name="Check Box 88">
              <controlPr defaultSize="0" autoFill="0" autoLine="0" autoPict="0">
                <anchor moveWithCells="1" sizeWithCells="1">
                  <from>
                    <xdr:col>18</xdr:col>
                    <xdr:colOff>38100</xdr:colOff>
                    <xdr:row>27</xdr:row>
                    <xdr:rowOff>152400</xdr:rowOff>
                  </from>
                  <to>
                    <xdr:col>18</xdr:col>
                    <xdr:colOff>238125</xdr:colOff>
                    <xdr:row>29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4">
    <tablePart r:id="rId16"/>
    <tablePart r:id="rId17"/>
    <tablePart r:id="rId18"/>
    <tablePart r:id="rId19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70505B-DA3A-407C-A7B6-06B999AD813D}">
  <sheetPr>
    <tabColor rgb="FF0070C0"/>
  </sheetPr>
  <dimension ref="A1:D117"/>
  <sheetViews>
    <sheetView workbookViewId="0"/>
  </sheetViews>
  <sheetFormatPr defaultRowHeight="15" x14ac:dyDescent="0.25"/>
  <cols>
    <col min="1" max="1" width="32" bestFit="1" customWidth="1"/>
    <col min="2" max="4" width="18.5703125" customWidth="1"/>
  </cols>
  <sheetData>
    <row r="1" spans="1:4" x14ac:dyDescent="0.25">
      <c r="A1" t="s">
        <v>1661</v>
      </c>
      <c r="B1" t="s">
        <v>1662</v>
      </c>
      <c r="C1" t="s">
        <v>1663</v>
      </c>
      <c r="D1" t="s">
        <v>1664</v>
      </c>
    </row>
    <row r="2" spans="1:4" x14ac:dyDescent="0.25">
      <c r="A2" t="s">
        <v>1459</v>
      </c>
      <c r="B2" t="s">
        <v>2</v>
      </c>
      <c r="D2" s="531" t="s">
        <v>1460</v>
      </c>
    </row>
    <row r="3" spans="1:4" x14ac:dyDescent="0.25">
      <c r="A3" t="s">
        <v>1461</v>
      </c>
      <c r="B3" t="s">
        <v>1462</v>
      </c>
      <c r="D3" s="531" t="s">
        <v>1463</v>
      </c>
    </row>
    <row r="4" spans="1:4" x14ac:dyDescent="0.25">
      <c r="A4" t="s">
        <v>1464</v>
      </c>
      <c r="B4" t="s">
        <v>1462</v>
      </c>
      <c r="D4" s="531" t="s">
        <v>1465</v>
      </c>
    </row>
    <row r="5" spans="1:4" x14ac:dyDescent="0.25">
      <c r="A5" t="s">
        <v>1466</v>
      </c>
      <c r="B5" t="s">
        <v>1462</v>
      </c>
      <c r="D5" s="531" t="s">
        <v>1467</v>
      </c>
    </row>
    <row r="6" spans="1:4" x14ac:dyDescent="0.25">
      <c r="A6" t="s">
        <v>1468</v>
      </c>
      <c r="B6" t="s">
        <v>1462</v>
      </c>
      <c r="D6" s="531" t="s">
        <v>1469</v>
      </c>
    </row>
    <row r="7" spans="1:4" x14ac:dyDescent="0.25">
      <c r="A7" t="s">
        <v>1470</v>
      </c>
      <c r="B7" t="s">
        <v>1462</v>
      </c>
      <c r="D7" s="531" t="s">
        <v>1471</v>
      </c>
    </row>
    <row r="8" spans="1:4" x14ac:dyDescent="0.25">
      <c r="A8" t="s">
        <v>1472</v>
      </c>
      <c r="B8" t="s">
        <v>1462</v>
      </c>
      <c r="D8" s="531" t="s">
        <v>1473</v>
      </c>
    </row>
    <row r="9" spans="1:4" x14ac:dyDescent="0.25">
      <c r="A9" t="s">
        <v>1474</v>
      </c>
      <c r="B9" t="s">
        <v>1462</v>
      </c>
      <c r="D9" s="531" t="s">
        <v>1475</v>
      </c>
    </row>
    <row r="10" spans="1:4" x14ac:dyDescent="0.25">
      <c r="A10" t="s">
        <v>1476</v>
      </c>
      <c r="B10" t="s">
        <v>1462</v>
      </c>
      <c r="D10" s="531" t="s">
        <v>1477</v>
      </c>
    </row>
    <row r="11" spans="1:4" x14ac:dyDescent="0.25">
      <c r="A11" t="s">
        <v>1478</v>
      </c>
      <c r="B11" t="s">
        <v>1462</v>
      </c>
      <c r="D11" s="531" t="s">
        <v>1479</v>
      </c>
    </row>
    <row r="12" spans="1:4" x14ac:dyDescent="0.25">
      <c r="A12" t="s">
        <v>1480</v>
      </c>
      <c r="B12" t="s">
        <v>1462</v>
      </c>
      <c r="D12" s="531" t="s">
        <v>1481</v>
      </c>
    </row>
    <row r="13" spans="1:4" x14ac:dyDescent="0.25">
      <c r="A13" t="s">
        <v>1482</v>
      </c>
      <c r="B13" t="s">
        <v>1462</v>
      </c>
      <c r="D13" s="531" t="s">
        <v>1483</v>
      </c>
    </row>
    <row r="14" spans="1:4" x14ac:dyDescent="0.25">
      <c r="A14" t="s">
        <v>1484</v>
      </c>
      <c r="B14" t="s">
        <v>1462</v>
      </c>
      <c r="D14" s="531" t="s">
        <v>1485</v>
      </c>
    </row>
    <row r="15" spans="1:4" x14ac:dyDescent="0.25">
      <c r="A15" t="s">
        <v>1486</v>
      </c>
      <c r="B15" t="s">
        <v>1487</v>
      </c>
      <c r="D15" s="531" t="s">
        <v>1488</v>
      </c>
    </row>
    <row r="16" spans="1:4" x14ac:dyDescent="0.25">
      <c r="A16" t="s">
        <v>1489</v>
      </c>
      <c r="B16" t="s">
        <v>1487</v>
      </c>
      <c r="D16" s="531" t="s">
        <v>1490</v>
      </c>
    </row>
    <row r="17" spans="1:4" x14ac:dyDescent="0.25">
      <c r="A17" t="s">
        <v>1491</v>
      </c>
      <c r="B17" t="s">
        <v>1487</v>
      </c>
      <c r="D17" s="531" t="s">
        <v>1492</v>
      </c>
    </row>
    <row r="18" spans="1:4" x14ac:dyDescent="0.25">
      <c r="A18" t="s">
        <v>1493</v>
      </c>
      <c r="B18" t="s">
        <v>1487</v>
      </c>
      <c r="D18" s="531" t="s">
        <v>1494</v>
      </c>
    </row>
    <row r="19" spans="1:4" x14ac:dyDescent="0.25">
      <c r="A19" t="s">
        <v>1495</v>
      </c>
      <c r="B19" t="s">
        <v>1487</v>
      </c>
      <c r="D19" s="531" t="s">
        <v>1496</v>
      </c>
    </row>
    <row r="20" spans="1:4" x14ac:dyDescent="0.25">
      <c r="A20" t="s">
        <v>1497</v>
      </c>
      <c r="B20" t="s">
        <v>1487</v>
      </c>
      <c r="D20" s="531" t="s">
        <v>1498</v>
      </c>
    </row>
    <row r="21" spans="1:4" x14ac:dyDescent="0.25">
      <c r="A21" t="s">
        <v>1499</v>
      </c>
      <c r="B21" t="s">
        <v>1487</v>
      </c>
      <c r="D21" s="531" t="s">
        <v>1500</v>
      </c>
    </row>
    <row r="22" spans="1:4" x14ac:dyDescent="0.25">
      <c r="A22" t="s">
        <v>1501</v>
      </c>
      <c r="B22" t="s">
        <v>1487</v>
      </c>
      <c r="D22" s="531" t="s">
        <v>1502</v>
      </c>
    </row>
    <row r="23" spans="1:4" x14ac:dyDescent="0.25">
      <c r="A23" t="s">
        <v>1503</v>
      </c>
      <c r="B23" t="s">
        <v>1504</v>
      </c>
      <c r="D23" s="531" t="s">
        <v>1673</v>
      </c>
    </row>
    <row r="24" spans="1:4" x14ac:dyDescent="0.25">
      <c r="A24" t="s">
        <v>1505</v>
      </c>
      <c r="B24" t="s">
        <v>1504</v>
      </c>
      <c r="D24" s="531" t="s">
        <v>1672</v>
      </c>
    </row>
    <row r="25" spans="1:4" x14ac:dyDescent="0.25">
      <c r="A25" t="s">
        <v>1506</v>
      </c>
      <c r="B25" t="s">
        <v>1507</v>
      </c>
      <c r="D25" s="531" t="s">
        <v>1508</v>
      </c>
    </row>
    <row r="26" spans="1:4" x14ac:dyDescent="0.25">
      <c r="A26" t="s">
        <v>1509</v>
      </c>
      <c r="B26" t="s">
        <v>1507</v>
      </c>
      <c r="D26" s="531" t="s">
        <v>1510</v>
      </c>
    </row>
    <row r="27" spans="1:4" x14ac:dyDescent="0.25">
      <c r="A27" t="s">
        <v>1511</v>
      </c>
      <c r="B27" t="s">
        <v>1507</v>
      </c>
      <c r="D27" s="531" t="s">
        <v>1512</v>
      </c>
    </row>
    <row r="28" spans="1:4" x14ac:dyDescent="0.25">
      <c r="A28" t="s">
        <v>1513</v>
      </c>
      <c r="B28" t="s">
        <v>1514</v>
      </c>
      <c r="D28" s="531" t="s">
        <v>1515</v>
      </c>
    </row>
    <row r="29" spans="1:4" x14ac:dyDescent="0.25">
      <c r="A29" t="s">
        <v>1516</v>
      </c>
      <c r="B29" t="s">
        <v>1462</v>
      </c>
      <c r="D29" s="531" t="s">
        <v>1517</v>
      </c>
    </row>
    <row r="30" spans="1:4" x14ac:dyDescent="0.25">
      <c r="A30" t="s">
        <v>1518</v>
      </c>
      <c r="B30" t="s">
        <v>1487</v>
      </c>
      <c r="D30" s="531" t="s">
        <v>1519</v>
      </c>
    </row>
    <row r="31" spans="1:4" x14ac:dyDescent="0.25">
      <c r="A31" t="s">
        <v>1520</v>
      </c>
      <c r="B31" t="s">
        <v>1514</v>
      </c>
      <c r="D31" s="531" t="s">
        <v>1521</v>
      </c>
    </row>
    <row r="32" spans="1:4" x14ac:dyDescent="0.25">
      <c r="A32" t="s">
        <v>1522</v>
      </c>
      <c r="B32" t="s">
        <v>1487</v>
      </c>
      <c r="D32" s="531" t="s">
        <v>1523</v>
      </c>
    </row>
    <row r="33" spans="1:4" x14ac:dyDescent="0.25">
      <c r="A33" t="s">
        <v>1524</v>
      </c>
      <c r="B33" t="s">
        <v>1514</v>
      </c>
      <c r="D33" s="531" t="s">
        <v>1525</v>
      </c>
    </row>
    <row r="34" spans="1:4" x14ac:dyDescent="0.25">
      <c r="A34" t="s">
        <v>1526</v>
      </c>
      <c r="B34" t="s">
        <v>1462</v>
      </c>
      <c r="D34" s="531" t="s">
        <v>1527</v>
      </c>
    </row>
    <row r="35" spans="1:4" x14ac:dyDescent="0.25">
      <c r="A35" t="s">
        <v>1528</v>
      </c>
      <c r="B35" t="s">
        <v>1487</v>
      </c>
      <c r="D35" s="531" t="s">
        <v>1685</v>
      </c>
    </row>
    <row r="36" spans="1:4" x14ac:dyDescent="0.25">
      <c r="A36" t="s">
        <v>1529</v>
      </c>
      <c r="B36" t="s">
        <v>1514</v>
      </c>
      <c r="D36" s="531" t="s">
        <v>1530</v>
      </c>
    </row>
    <row r="37" spans="1:4" x14ac:dyDescent="0.25">
      <c r="A37" t="s">
        <v>1531</v>
      </c>
      <c r="B37" t="s">
        <v>1487</v>
      </c>
      <c r="D37" s="531" t="s">
        <v>1532</v>
      </c>
    </row>
    <row r="38" spans="1:4" x14ac:dyDescent="0.25">
      <c r="A38" t="s">
        <v>1533</v>
      </c>
      <c r="B38" t="s">
        <v>1514</v>
      </c>
      <c r="D38" s="531" t="s">
        <v>1534</v>
      </c>
    </row>
    <row r="39" spans="1:4" x14ac:dyDescent="0.25">
      <c r="A39" t="s">
        <v>1535</v>
      </c>
      <c r="B39" t="s">
        <v>1462</v>
      </c>
      <c r="D39" s="531" t="s">
        <v>1536</v>
      </c>
    </row>
    <row r="40" spans="1:4" x14ac:dyDescent="0.25">
      <c r="A40" t="s">
        <v>1537</v>
      </c>
      <c r="B40" t="s">
        <v>1487</v>
      </c>
      <c r="D40" s="531" t="s">
        <v>1538</v>
      </c>
    </row>
    <row r="41" spans="1:4" x14ac:dyDescent="0.25">
      <c r="A41" t="s">
        <v>1539</v>
      </c>
      <c r="B41" t="s">
        <v>1514</v>
      </c>
      <c r="D41" s="531" t="s">
        <v>1540</v>
      </c>
    </row>
    <row r="42" spans="1:4" x14ac:dyDescent="0.25">
      <c r="A42" t="s">
        <v>1541</v>
      </c>
      <c r="B42" t="s">
        <v>1487</v>
      </c>
      <c r="D42" s="531" t="s">
        <v>1542</v>
      </c>
    </row>
    <row r="43" spans="1:4" x14ac:dyDescent="0.25">
      <c r="A43" t="s">
        <v>1543</v>
      </c>
      <c r="B43" t="s">
        <v>1514</v>
      </c>
      <c r="D43" s="531" t="s">
        <v>1544</v>
      </c>
    </row>
    <row r="44" spans="1:4" x14ac:dyDescent="0.25">
      <c r="A44" t="s">
        <v>1545</v>
      </c>
      <c r="B44" t="s">
        <v>1462</v>
      </c>
      <c r="D44" s="531" t="s">
        <v>1546</v>
      </c>
    </row>
    <row r="45" spans="1:4" x14ac:dyDescent="0.25">
      <c r="A45" t="s">
        <v>1547</v>
      </c>
      <c r="B45" t="s">
        <v>1487</v>
      </c>
      <c r="D45" s="531" t="s">
        <v>1548</v>
      </c>
    </row>
    <row r="46" spans="1:4" x14ac:dyDescent="0.25">
      <c r="A46" t="s">
        <v>1549</v>
      </c>
      <c r="B46" t="s">
        <v>1514</v>
      </c>
      <c r="D46" s="531" t="s">
        <v>1550</v>
      </c>
    </row>
    <row r="47" spans="1:4" x14ac:dyDescent="0.25">
      <c r="A47" t="s">
        <v>1551</v>
      </c>
      <c r="B47" t="s">
        <v>1487</v>
      </c>
      <c r="D47" s="531" t="s">
        <v>1552</v>
      </c>
    </row>
    <row r="48" spans="1:4" x14ac:dyDescent="0.25">
      <c r="A48" t="s">
        <v>1553</v>
      </c>
      <c r="B48" t="s">
        <v>1507</v>
      </c>
      <c r="D48" s="531" t="s">
        <v>1554</v>
      </c>
    </row>
    <row r="49" spans="1:4" x14ac:dyDescent="0.25">
      <c r="A49" t="s">
        <v>1555</v>
      </c>
      <c r="B49" t="s">
        <v>1462</v>
      </c>
      <c r="D49" s="531" t="s">
        <v>1556</v>
      </c>
    </row>
    <row r="50" spans="1:4" x14ac:dyDescent="0.25">
      <c r="A50" t="s">
        <v>1557</v>
      </c>
      <c r="B50" t="s">
        <v>1504</v>
      </c>
      <c r="D50" s="531" t="s">
        <v>1674</v>
      </c>
    </row>
    <row r="51" spans="1:4" x14ac:dyDescent="0.25">
      <c r="A51" t="s">
        <v>1558</v>
      </c>
      <c r="B51" t="s">
        <v>1504</v>
      </c>
      <c r="D51" s="531" t="s">
        <v>1675</v>
      </c>
    </row>
    <row r="52" spans="1:4" x14ac:dyDescent="0.25">
      <c r="A52" t="s">
        <v>1559</v>
      </c>
      <c r="B52" t="s">
        <v>1504</v>
      </c>
      <c r="D52" s="531" t="s">
        <v>1676</v>
      </c>
    </row>
    <row r="53" spans="1:4" x14ac:dyDescent="0.25">
      <c r="A53" t="s">
        <v>1118</v>
      </c>
      <c r="B53" t="s">
        <v>1504</v>
      </c>
      <c r="D53" s="531" t="s">
        <v>1677</v>
      </c>
    </row>
    <row r="54" spans="1:4" x14ac:dyDescent="0.25">
      <c r="A54" t="s">
        <v>1560</v>
      </c>
      <c r="B54" t="s">
        <v>1504</v>
      </c>
      <c r="D54" s="531" t="s">
        <v>1678</v>
      </c>
    </row>
    <row r="55" spans="1:4" x14ac:dyDescent="0.25">
      <c r="A55" t="s">
        <v>1561</v>
      </c>
      <c r="B55" t="s">
        <v>1504</v>
      </c>
      <c r="D55" s="531" t="s">
        <v>1679</v>
      </c>
    </row>
    <row r="56" spans="1:4" x14ac:dyDescent="0.25">
      <c r="A56" t="s">
        <v>1562</v>
      </c>
      <c r="B56" t="s">
        <v>1504</v>
      </c>
      <c r="D56" s="531" t="s">
        <v>1680</v>
      </c>
    </row>
    <row r="57" spans="1:4" x14ac:dyDescent="0.25">
      <c r="A57" t="s">
        <v>1563</v>
      </c>
      <c r="B57" t="s">
        <v>1487</v>
      </c>
      <c r="D57" s="531" t="s">
        <v>1564</v>
      </c>
    </row>
    <row r="58" spans="1:4" x14ac:dyDescent="0.25">
      <c r="A58" t="s">
        <v>1565</v>
      </c>
      <c r="B58" t="s">
        <v>1514</v>
      </c>
      <c r="D58" s="531" t="s">
        <v>1566</v>
      </c>
    </row>
    <row r="59" spans="1:4" x14ac:dyDescent="0.25">
      <c r="A59" t="s">
        <v>1567</v>
      </c>
      <c r="B59" t="s">
        <v>1514</v>
      </c>
      <c r="D59" s="531" t="s">
        <v>1568</v>
      </c>
    </row>
    <row r="60" spans="1:4" x14ac:dyDescent="0.25">
      <c r="A60" t="s">
        <v>1569</v>
      </c>
      <c r="B60" t="s">
        <v>1514</v>
      </c>
      <c r="D60" s="531" t="s">
        <v>1570</v>
      </c>
    </row>
    <row r="61" spans="1:4" x14ac:dyDescent="0.25">
      <c r="A61" t="s">
        <v>1571</v>
      </c>
      <c r="B61" t="s">
        <v>1514</v>
      </c>
      <c r="D61" s="531" t="s">
        <v>1572</v>
      </c>
    </row>
    <row r="62" spans="1:4" x14ac:dyDescent="0.25">
      <c r="A62" t="s">
        <v>1573</v>
      </c>
      <c r="B62" t="s">
        <v>1487</v>
      </c>
      <c r="D62" s="531" t="s">
        <v>1574</v>
      </c>
    </row>
    <row r="63" spans="1:4" x14ac:dyDescent="0.25">
      <c r="A63" t="s">
        <v>1575</v>
      </c>
      <c r="B63" t="s">
        <v>1504</v>
      </c>
      <c r="D63" s="531" t="s">
        <v>1681</v>
      </c>
    </row>
    <row r="64" spans="1:4" x14ac:dyDescent="0.25">
      <c r="A64" t="s">
        <v>1576</v>
      </c>
      <c r="B64" t="s">
        <v>1504</v>
      </c>
      <c r="D64" s="531" t="s">
        <v>1682</v>
      </c>
    </row>
    <row r="65" spans="1:4" x14ac:dyDescent="0.25">
      <c r="A65" t="s">
        <v>1577</v>
      </c>
      <c r="B65" t="s">
        <v>1504</v>
      </c>
      <c r="D65" s="531" t="s">
        <v>1683</v>
      </c>
    </row>
    <row r="66" spans="1:4" x14ac:dyDescent="0.25">
      <c r="A66" t="s">
        <v>1578</v>
      </c>
      <c r="B66" t="s">
        <v>1514</v>
      </c>
      <c r="D66" s="531" t="s">
        <v>1579</v>
      </c>
    </row>
    <row r="67" spans="1:4" x14ac:dyDescent="0.25">
      <c r="A67" t="s">
        <v>1580</v>
      </c>
      <c r="B67" t="s">
        <v>1487</v>
      </c>
      <c r="D67" s="531" t="s">
        <v>1581</v>
      </c>
    </row>
    <row r="68" spans="1:4" x14ac:dyDescent="0.25">
      <c r="A68" t="s">
        <v>1582</v>
      </c>
      <c r="B68" t="s">
        <v>1514</v>
      </c>
      <c r="D68" s="531" t="s">
        <v>1583</v>
      </c>
    </row>
    <row r="69" spans="1:4" x14ac:dyDescent="0.25">
      <c r="A69" t="s">
        <v>1584</v>
      </c>
      <c r="B69" t="s">
        <v>1487</v>
      </c>
      <c r="D69" s="531" t="s">
        <v>1585</v>
      </c>
    </row>
    <row r="70" spans="1:4" x14ac:dyDescent="0.25">
      <c r="A70" t="s">
        <v>1586</v>
      </c>
      <c r="B70" t="s">
        <v>1487</v>
      </c>
      <c r="D70" s="531" t="s">
        <v>1587</v>
      </c>
    </row>
    <row r="71" spans="1:4" x14ac:dyDescent="0.25">
      <c r="A71" t="s">
        <v>1588</v>
      </c>
      <c r="B71" t="s">
        <v>1514</v>
      </c>
      <c r="D71" s="531" t="s">
        <v>1589</v>
      </c>
    </row>
    <row r="72" spans="1:4" x14ac:dyDescent="0.25">
      <c r="A72" t="s">
        <v>1590</v>
      </c>
      <c r="B72" t="s">
        <v>1487</v>
      </c>
      <c r="D72" s="531" t="s">
        <v>1591</v>
      </c>
    </row>
    <row r="73" spans="1:4" x14ac:dyDescent="0.25">
      <c r="A73" t="s">
        <v>1592</v>
      </c>
      <c r="B73" t="s">
        <v>1487</v>
      </c>
      <c r="D73" s="531" t="s">
        <v>1593</v>
      </c>
    </row>
    <row r="74" spans="1:4" x14ac:dyDescent="0.25">
      <c r="A74" t="s">
        <v>1594</v>
      </c>
      <c r="B74" t="s">
        <v>1462</v>
      </c>
      <c r="D74" s="531" t="s">
        <v>1595</v>
      </c>
    </row>
    <row r="75" spans="1:4" x14ac:dyDescent="0.25">
      <c r="A75" t="s">
        <v>1596</v>
      </c>
      <c r="B75" t="s">
        <v>1514</v>
      </c>
      <c r="D75" s="531" t="s">
        <v>1597</v>
      </c>
    </row>
    <row r="76" spans="1:4" x14ac:dyDescent="0.25">
      <c r="A76" t="s">
        <v>1598</v>
      </c>
      <c r="B76" t="s">
        <v>1514</v>
      </c>
      <c r="D76" s="531" t="s">
        <v>1599</v>
      </c>
    </row>
    <row r="77" spans="1:4" x14ac:dyDescent="0.25">
      <c r="A77" t="s">
        <v>1600</v>
      </c>
      <c r="B77" t="s">
        <v>1514</v>
      </c>
      <c r="D77" s="531" t="s">
        <v>1601</v>
      </c>
    </row>
    <row r="78" spans="1:4" x14ac:dyDescent="0.25">
      <c r="A78" t="s">
        <v>1602</v>
      </c>
      <c r="B78" t="s">
        <v>1514</v>
      </c>
      <c r="D78" s="531" t="s">
        <v>1603</v>
      </c>
    </row>
    <row r="79" spans="1:4" x14ac:dyDescent="0.25">
      <c r="A79" t="s">
        <v>1604</v>
      </c>
      <c r="B79" t="s">
        <v>1514</v>
      </c>
      <c r="D79" s="531" t="s">
        <v>1605</v>
      </c>
    </row>
    <row r="80" spans="1:4" x14ac:dyDescent="0.25">
      <c r="A80" t="s">
        <v>1606</v>
      </c>
      <c r="B80" t="s">
        <v>1514</v>
      </c>
      <c r="D80" s="531" t="s">
        <v>1607</v>
      </c>
    </row>
    <row r="81" spans="1:4" x14ac:dyDescent="0.25">
      <c r="A81" t="s">
        <v>1608</v>
      </c>
      <c r="B81" t="s">
        <v>1514</v>
      </c>
      <c r="D81" s="531" t="s">
        <v>1609</v>
      </c>
    </row>
    <row r="82" spans="1:4" x14ac:dyDescent="0.25">
      <c r="A82" t="s">
        <v>1610</v>
      </c>
      <c r="B82" t="s">
        <v>1487</v>
      </c>
      <c r="D82" s="531" t="s">
        <v>1611</v>
      </c>
    </row>
    <row r="83" spans="1:4" x14ac:dyDescent="0.25">
      <c r="A83" t="s">
        <v>1612</v>
      </c>
      <c r="B83" t="s">
        <v>1507</v>
      </c>
      <c r="D83" s="531" t="s">
        <v>1613</v>
      </c>
    </row>
    <row r="84" spans="1:4" x14ac:dyDescent="0.25">
      <c r="A84" t="s">
        <v>1688</v>
      </c>
      <c r="B84" t="s">
        <v>1514</v>
      </c>
      <c r="D84" s="531" t="s">
        <v>1614</v>
      </c>
    </row>
    <row r="85" spans="1:4" x14ac:dyDescent="0.25">
      <c r="A85" t="s">
        <v>1615</v>
      </c>
      <c r="B85" t="s">
        <v>1514</v>
      </c>
      <c r="D85" s="531" t="s">
        <v>1616</v>
      </c>
    </row>
    <row r="86" spans="1:4" x14ac:dyDescent="0.25">
      <c r="A86" t="s">
        <v>1617</v>
      </c>
      <c r="B86" t="s">
        <v>1507</v>
      </c>
      <c r="D86" s="531" t="s">
        <v>1618</v>
      </c>
    </row>
    <row r="87" spans="1:4" x14ac:dyDescent="0.25">
      <c r="A87" t="s">
        <v>1619</v>
      </c>
      <c r="B87" t="s">
        <v>1507</v>
      </c>
      <c r="D87" s="531" t="s">
        <v>1620</v>
      </c>
    </row>
    <row r="88" spans="1:4" x14ac:dyDescent="0.25">
      <c r="A88" t="s">
        <v>1621</v>
      </c>
      <c r="B88" t="s">
        <v>1507</v>
      </c>
      <c r="D88" s="531" t="s">
        <v>1622</v>
      </c>
    </row>
    <row r="89" spans="1:4" x14ac:dyDescent="0.25">
      <c r="A89" t="s">
        <v>1623</v>
      </c>
      <c r="B89" t="s">
        <v>1487</v>
      </c>
      <c r="D89" s="531" t="s">
        <v>1624</v>
      </c>
    </row>
    <row r="90" spans="1:4" x14ac:dyDescent="0.25">
      <c r="A90" t="s">
        <v>1085</v>
      </c>
      <c r="B90" t="s">
        <v>1507</v>
      </c>
      <c r="D90" s="531" t="s">
        <v>1625</v>
      </c>
    </row>
    <row r="91" spans="1:4" x14ac:dyDescent="0.25">
      <c r="A91" t="s">
        <v>1626</v>
      </c>
      <c r="B91" t="s">
        <v>1507</v>
      </c>
      <c r="D91" s="531" t="s">
        <v>1627</v>
      </c>
    </row>
    <row r="92" spans="1:4" x14ac:dyDescent="0.25">
      <c r="A92" t="s">
        <v>1628</v>
      </c>
      <c r="B92" t="s">
        <v>1514</v>
      </c>
      <c r="D92" s="531" t="s">
        <v>1629</v>
      </c>
    </row>
    <row r="93" spans="1:4" x14ac:dyDescent="0.25">
      <c r="A93" t="s">
        <v>1630</v>
      </c>
      <c r="B93" t="s">
        <v>1462</v>
      </c>
      <c r="D93" s="531" t="s">
        <v>1631</v>
      </c>
    </row>
    <row r="94" spans="1:4" x14ac:dyDescent="0.25">
      <c r="A94" t="s">
        <v>1632</v>
      </c>
      <c r="B94" t="s">
        <v>1462</v>
      </c>
      <c r="D94" s="531" t="s">
        <v>1633</v>
      </c>
    </row>
    <row r="95" spans="1:4" x14ac:dyDescent="0.25">
      <c r="A95" t="s">
        <v>1634</v>
      </c>
      <c r="B95" t="s">
        <v>1507</v>
      </c>
      <c r="D95" s="531" t="s">
        <v>1635</v>
      </c>
    </row>
    <row r="96" spans="1:4" x14ac:dyDescent="0.25">
      <c r="A96" t="s">
        <v>1636</v>
      </c>
      <c r="B96" t="s">
        <v>2</v>
      </c>
      <c r="D96" s="531" t="s">
        <v>1637</v>
      </c>
    </row>
    <row r="97" spans="1:4" x14ac:dyDescent="0.25">
      <c r="A97" t="s">
        <v>1638</v>
      </c>
      <c r="B97" t="s">
        <v>2</v>
      </c>
      <c r="D97" s="531" t="s">
        <v>1639</v>
      </c>
    </row>
    <row r="98" spans="1:4" x14ac:dyDescent="0.25">
      <c r="A98" t="s">
        <v>1640</v>
      </c>
      <c r="B98" t="s">
        <v>2</v>
      </c>
      <c r="D98" s="531" t="s">
        <v>1641</v>
      </c>
    </row>
    <row r="99" spans="1:4" x14ac:dyDescent="0.25">
      <c r="A99" t="s">
        <v>1642</v>
      </c>
      <c r="B99" t="s">
        <v>2</v>
      </c>
      <c r="D99" s="531" t="s">
        <v>1643</v>
      </c>
    </row>
    <row r="100" spans="1:4" x14ac:dyDescent="0.25">
      <c r="A100" t="s">
        <v>1644</v>
      </c>
      <c r="B100" t="s">
        <v>1462</v>
      </c>
      <c r="D100" s="531" t="s">
        <v>1645</v>
      </c>
    </row>
    <row r="101" spans="1:4" x14ac:dyDescent="0.25">
      <c r="A101" t="s">
        <v>1646</v>
      </c>
      <c r="B101" t="s">
        <v>1462</v>
      </c>
      <c r="D101" s="531" t="s">
        <v>1647</v>
      </c>
    </row>
    <row r="102" spans="1:4" x14ac:dyDescent="0.25">
      <c r="A102" t="s">
        <v>1648</v>
      </c>
      <c r="B102" t="s">
        <v>1462</v>
      </c>
      <c r="D102" s="531" t="s">
        <v>1649</v>
      </c>
    </row>
    <row r="103" spans="1:4" x14ac:dyDescent="0.25">
      <c r="A103" t="s">
        <v>1650</v>
      </c>
      <c r="B103" t="s">
        <v>1462</v>
      </c>
      <c r="D103" s="531" t="s">
        <v>1651</v>
      </c>
    </row>
    <row r="104" spans="1:4" x14ac:dyDescent="0.25">
      <c r="A104" t="s">
        <v>1652</v>
      </c>
      <c r="B104" t="s">
        <v>1462</v>
      </c>
      <c r="D104" s="531" t="s">
        <v>1653</v>
      </c>
    </row>
    <row r="105" spans="1:4" x14ac:dyDescent="0.25">
      <c r="A105" t="s">
        <v>1654</v>
      </c>
      <c r="B105" t="s">
        <v>1462</v>
      </c>
      <c r="D105" s="531" t="s">
        <v>1655</v>
      </c>
    </row>
    <row r="106" spans="1:4" x14ac:dyDescent="0.25">
      <c r="A106" t="s">
        <v>1656</v>
      </c>
      <c r="B106" t="s">
        <v>1462</v>
      </c>
      <c r="D106" s="531" t="s">
        <v>1657</v>
      </c>
    </row>
    <row r="107" spans="1:4" x14ac:dyDescent="0.25">
      <c r="A107" t="s">
        <v>1658</v>
      </c>
      <c r="B107" t="s">
        <v>1462</v>
      </c>
      <c r="D107" s="531" t="s">
        <v>1659</v>
      </c>
    </row>
    <row r="108" spans="1:4" x14ac:dyDescent="0.25">
      <c r="A108" t="s">
        <v>1660</v>
      </c>
      <c r="B108" t="s">
        <v>1462</v>
      </c>
      <c r="D108" s="531" t="s">
        <v>1684</v>
      </c>
    </row>
    <row r="109" spans="1:4" x14ac:dyDescent="0.25">
      <c r="A109" t="s">
        <v>1689</v>
      </c>
      <c r="B109" t="s">
        <v>1462</v>
      </c>
      <c r="D109" s="531" t="s">
        <v>1687</v>
      </c>
    </row>
    <row r="110" spans="1:4" x14ac:dyDescent="0.25">
      <c r="A110" t="s">
        <v>1332</v>
      </c>
      <c r="B110" t="s">
        <v>1462</v>
      </c>
      <c r="D110" s="531" t="s">
        <v>1690</v>
      </c>
    </row>
    <row r="111" spans="1:4" x14ac:dyDescent="0.25">
      <c r="A111" t="s">
        <v>1692</v>
      </c>
      <c r="B111" t="s">
        <v>1691</v>
      </c>
      <c r="C111" t="s">
        <v>1454</v>
      </c>
    </row>
    <row r="112" spans="1:4" x14ac:dyDescent="0.25">
      <c r="A112" t="s">
        <v>1692</v>
      </c>
      <c r="B112" t="s">
        <v>1691</v>
      </c>
      <c r="C112" t="s">
        <v>1455</v>
      </c>
    </row>
    <row r="113" spans="1:3" x14ac:dyDescent="0.25">
      <c r="A113" t="s">
        <v>1693</v>
      </c>
      <c r="B113" t="s">
        <v>1691</v>
      </c>
      <c r="C113" t="s">
        <v>1292</v>
      </c>
    </row>
    <row r="114" spans="1:3" x14ac:dyDescent="0.25">
      <c r="A114" t="s">
        <v>1694</v>
      </c>
      <c r="B114" t="s">
        <v>1691</v>
      </c>
      <c r="C114" t="s">
        <v>1226</v>
      </c>
    </row>
    <row r="115" spans="1:3" x14ac:dyDescent="0.25">
      <c r="A115" t="s">
        <v>1695</v>
      </c>
      <c r="B115" t="s">
        <v>1691</v>
      </c>
      <c r="C115" t="s">
        <v>1290</v>
      </c>
    </row>
    <row r="116" spans="1:3" x14ac:dyDescent="0.25">
      <c r="A116" t="s">
        <v>1696</v>
      </c>
      <c r="B116" t="s">
        <v>1691</v>
      </c>
      <c r="C116" t="s">
        <v>1291</v>
      </c>
    </row>
    <row r="117" spans="1:3" x14ac:dyDescent="0.25">
      <c r="A117" t="s">
        <v>1697</v>
      </c>
      <c r="B117" t="s">
        <v>1691</v>
      </c>
      <c r="C117" t="s">
        <v>1118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1D1D3-BBCC-40AD-A933-F292015206CA}">
  <sheetPr codeName="Sheet8">
    <tabColor rgb="FF99FF33"/>
  </sheetPr>
  <dimension ref="A1:G38"/>
  <sheetViews>
    <sheetView topLeftCell="A5" workbookViewId="0">
      <selection activeCell="C13" sqref="C13"/>
    </sheetView>
  </sheetViews>
  <sheetFormatPr defaultRowHeight="15" x14ac:dyDescent="0.25"/>
  <cols>
    <col min="1" max="1" width="26.28515625" customWidth="1"/>
    <col min="2" max="2" width="16" customWidth="1"/>
    <col min="3" max="5" width="15.5703125" customWidth="1"/>
  </cols>
  <sheetData>
    <row r="1" spans="1:7" ht="24" customHeight="1" x14ac:dyDescent="0.25">
      <c r="A1" s="535"/>
    </row>
    <row r="3" spans="1:7" x14ac:dyDescent="0.25">
      <c r="A3" s="1" t="s">
        <v>1</v>
      </c>
      <c r="B3" s="874" t="s">
        <v>1698</v>
      </c>
      <c r="C3" s="875"/>
    </row>
    <row r="4" spans="1:7" x14ac:dyDescent="0.25">
      <c r="A4" s="1" t="s">
        <v>2</v>
      </c>
      <c r="B4" s="876"/>
      <c r="C4" s="877"/>
    </row>
    <row r="5" spans="1:7" x14ac:dyDescent="0.25">
      <c r="A5" s="1" t="s">
        <v>3</v>
      </c>
      <c r="B5" s="878"/>
      <c r="C5" s="878"/>
    </row>
    <row r="9" spans="1:7" ht="15.75" thickBot="1" x14ac:dyDescent="0.3">
      <c r="B9" s="883" t="s">
        <v>1230</v>
      </c>
      <c r="C9" s="883"/>
      <c r="D9" s="883"/>
      <c r="E9" s="883"/>
      <c r="G9" s="531"/>
    </row>
    <row r="10" spans="1:7" ht="15.75" thickBot="1" x14ac:dyDescent="0.3">
      <c r="B10" s="611" t="s">
        <v>684</v>
      </c>
      <c r="C10" s="393" t="s">
        <v>685</v>
      </c>
      <c r="D10" s="614" t="s">
        <v>1103</v>
      </c>
      <c r="E10" s="673" t="s">
        <v>1229</v>
      </c>
    </row>
    <row r="11" spans="1:7" x14ac:dyDescent="0.25">
      <c r="A11" t="s">
        <v>282</v>
      </c>
      <c r="B11" s="630">
        <v>18</v>
      </c>
      <c r="C11" s="631">
        <v>16</v>
      </c>
      <c r="D11" s="632">
        <v>30</v>
      </c>
      <c r="E11" s="674">
        <v>42</v>
      </c>
    </row>
    <row r="12" spans="1:7" x14ac:dyDescent="0.25">
      <c r="A12" t="s">
        <v>18</v>
      </c>
      <c r="B12" s="633">
        <v>20000</v>
      </c>
      <c r="C12" s="634">
        <v>20000</v>
      </c>
      <c r="D12" s="677">
        <v>20000</v>
      </c>
      <c r="E12" s="676">
        <v>20000</v>
      </c>
    </row>
    <row r="13" spans="1:7" x14ac:dyDescent="0.25">
      <c r="A13" t="s">
        <v>816</v>
      </c>
      <c r="B13" s="635">
        <v>0.25</v>
      </c>
      <c r="C13" s="636">
        <v>0.3</v>
      </c>
      <c r="D13" s="637">
        <v>3.5000000000000003E-2</v>
      </c>
      <c r="E13" s="675">
        <v>0.06</v>
      </c>
    </row>
    <row r="14" spans="1:7" x14ac:dyDescent="0.25">
      <c r="A14" t="s">
        <v>686</v>
      </c>
      <c r="B14" s="635" t="s">
        <v>1273</v>
      </c>
      <c r="C14" s="636" t="s">
        <v>1273</v>
      </c>
      <c r="D14" s="637" t="s">
        <v>1152</v>
      </c>
      <c r="E14" s="675" t="s">
        <v>1273</v>
      </c>
    </row>
    <row r="15" spans="1:7" x14ac:dyDescent="0.25">
      <c r="A15" t="s">
        <v>275</v>
      </c>
      <c r="B15" s="633">
        <v>100000</v>
      </c>
      <c r="C15" s="634">
        <v>100000</v>
      </c>
      <c r="D15" s="638">
        <v>50000</v>
      </c>
      <c r="E15" s="676">
        <v>30000</v>
      </c>
    </row>
    <row r="16" spans="1:7" x14ac:dyDescent="0.25">
      <c r="A16" t="s">
        <v>817</v>
      </c>
      <c r="B16" s="633"/>
      <c r="C16" s="634"/>
      <c r="D16" s="638"/>
      <c r="E16" s="676"/>
    </row>
    <row r="17" spans="1:5" x14ac:dyDescent="0.25">
      <c r="A17" t="s">
        <v>1102</v>
      </c>
      <c r="B17" s="633">
        <v>35</v>
      </c>
      <c r="C17" s="640">
        <v>35</v>
      </c>
      <c r="D17" s="781">
        <v>35</v>
      </c>
      <c r="E17" s="782">
        <v>35</v>
      </c>
    </row>
    <row r="18" spans="1:5" x14ac:dyDescent="0.25">
      <c r="A18" t="s">
        <v>1130</v>
      </c>
      <c r="B18" s="643">
        <f>IF(AND(Thickness_1&gt;0,YieldStrength_1&gt;0), VLOOKUP(Material_1, LookupMaterial, 3, FALSE)*(Thickness_1/2)/YieldStrength_1, 0)</f>
        <v>36.25</v>
      </c>
      <c r="C18" s="643">
        <f>IF(AND(Thickness_2&gt;0,YieldStrength_2&gt;0), VLOOKUP(Material_2, LookupMaterial, 3, FALSE)*(Thickness_2/2)/YieldStrength_2, 0)</f>
        <v>43.5</v>
      </c>
      <c r="D18" s="644">
        <f>IF(AND(Thickness_3&gt;0,YieldStrength_3&gt;0), VLOOKUP(Material_3, LookupMaterial, 3, FALSE)*(Thickness_3/2)/YieldStrength_3, 0)</f>
        <v>10.15</v>
      </c>
      <c r="E18" s="644">
        <f>IF(AND(Thickness_4&gt;0,YieldStrength_4&gt;0), VLOOKUP(Material_4, LookupMaterial, 3, FALSE)*(Thickness_4/2)/YieldStrength_4, 0)</f>
        <v>29</v>
      </c>
    </row>
    <row r="19" spans="1:5" x14ac:dyDescent="0.25">
      <c r="A19" t="s">
        <v>1131</v>
      </c>
      <c r="B19" s="643">
        <f>IF(B18&gt;0, (B18*4)/12, 0)</f>
        <v>12.083333333333334</v>
      </c>
      <c r="C19" s="643">
        <f>IF(C18&gt;0, (C18*4)/12, 0)</f>
        <v>14.5</v>
      </c>
      <c r="D19" s="644">
        <f>IF(D18&gt;0, (D18*4)/12, 0)</f>
        <v>3.3833333333333333</v>
      </c>
      <c r="E19" s="644">
        <f>IF(E18&gt;0, (E18*4)/12, 0)</f>
        <v>9.6666666666666661</v>
      </c>
    </row>
    <row r="20" spans="1:5" x14ac:dyDescent="0.25">
      <c r="A20" t="s">
        <v>8</v>
      </c>
      <c r="B20" s="639">
        <v>72</v>
      </c>
      <c r="C20" s="640">
        <v>72</v>
      </c>
      <c r="D20" s="637">
        <v>72</v>
      </c>
      <c r="E20" s="675">
        <v>72</v>
      </c>
    </row>
    <row r="21" spans="1:5" x14ac:dyDescent="0.25">
      <c r="A21" t="s">
        <v>9</v>
      </c>
      <c r="B21" s="635">
        <v>20</v>
      </c>
      <c r="C21" s="636">
        <v>20</v>
      </c>
      <c r="D21" s="637">
        <v>20</v>
      </c>
      <c r="E21" s="675">
        <v>20</v>
      </c>
    </row>
    <row r="22" spans="1:5" ht="15.75" thickBot="1" x14ac:dyDescent="0.3">
      <c r="A22" t="s">
        <v>1090</v>
      </c>
      <c r="B22" s="641">
        <f>IF(CoilWidth_1&gt;0,ROUNDUP(SQRT((CoilWeight_1/(VLOOKUP(Material_1,LookupMaterial,4,FALSE) * PI() * CoilWidth_1)) + (CoilID_1 / 2)^2) * 2,0),"")</f>
        <v>74</v>
      </c>
      <c r="C22" s="641">
        <f>IF(CoilWidth_2&gt;0,ROUNDUP(SQRT((CoilWeight_2/(VLOOKUP(Material_2,LookupMaterial,4,FALSE) * PI() * CoilWidth_2)) + (CoilID_2 / 2)^2) * 2,0),"")</f>
        <v>78</v>
      </c>
      <c r="D22" s="642" cm="1">
        <f t="array" ref="D22">IF(CoilWidth_3&gt;0,ROUNDUP(SQRT((CoilWeight_3/(VLOOKUP(Material_3,LookupMaterial,4,FALSE) * PI() * CoilWidth_3)) + (CoilID_3 / 2)^2) * 2,0),"")</f>
        <v>59</v>
      </c>
      <c r="E22" s="642">
        <f>IF(CoilWidth_4&gt;0,ROUNDUP(SQRT((CoilWeight_4/(VLOOKUP(Material_4,LookupMaterial,4,FALSE) * PI() * CoilWidth_4)) + (CoilID_4 / 2)^2) * 2,0),"")</f>
        <v>51</v>
      </c>
    </row>
    <row r="23" spans="1:5" x14ac:dyDescent="0.25">
      <c r="A23" s="29"/>
      <c r="B23" s="529" t="s">
        <v>1231</v>
      </c>
      <c r="C23" s="529" t="s">
        <v>1228</v>
      </c>
      <c r="D23" s="529" t="s">
        <v>1232</v>
      </c>
      <c r="E23" s="529" t="s">
        <v>1227</v>
      </c>
    </row>
    <row r="26" spans="1:5" x14ac:dyDescent="0.25">
      <c r="A26" s="456" t="s">
        <v>822</v>
      </c>
      <c r="B26" s="872" t="s">
        <v>1714</v>
      </c>
      <c r="C26" s="873"/>
    </row>
    <row r="27" spans="1:5" x14ac:dyDescent="0.25">
      <c r="A27" s="456" t="s">
        <v>823</v>
      </c>
      <c r="B27" s="872" t="s">
        <v>1235</v>
      </c>
      <c r="C27" s="873"/>
    </row>
    <row r="28" spans="1:5" x14ac:dyDescent="0.25">
      <c r="A28" s="456" t="s">
        <v>824</v>
      </c>
      <c r="B28" s="872" t="s">
        <v>951</v>
      </c>
      <c r="C28" s="873"/>
    </row>
    <row r="29" spans="1:5" x14ac:dyDescent="0.25">
      <c r="A29" s="456" t="s">
        <v>1092</v>
      </c>
      <c r="B29" s="881" t="s">
        <v>1080</v>
      </c>
      <c r="C29" s="882"/>
    </row>
    <row r="30" spans="1:5" x14ac:dyDescent="0.25">
      <c r="A30" s="456" t="s">
        <v>900</v>
      </c>
      <c r="B30" s="872" t="s">
        <v>873</v>
      </c>
      <c r="C30" s="873"/>
    </row>
    <row r="31" spans="1:5" ht="15.75" thickBot="1" x14ac:dyDescent="0.3"/>
    <row r="32" spans="1:5" ht="15.75" thickBot="1" x14ac:dyDescent="0.3">
      <c r="A32" s="456" t="s">
        <v>821</v>
      </c>
      <c r="B32" s="879" t="s">
        <v>1056</v>
      </c>
      <c r="C32" s="880"/>
    </row>
    <row r="34" spans="1:4" x14ac:dyDescent="0.25">
      <c r="A34" s="745" t="s">
        <v>1425</v>
      </c>
      <c r="B34" s="872" t="s">
        <v>1427</v>
      </c>
      <c r="C34" s="873"/>
    </row>
    <row r="35" spans="1:4" x14ac:dyDescent="0.25">
      <c r="A35" s="745" t="s">
        <v>1426</v>
      </c>
      <c r="B35" s="872" t="s">
        <v>1428</v>
      </c>
      <c r="C35" s="873"/>
    </row>
    <row r="37" spans="1:4" x14ac:dyDescent="0.25">
      <c r="A37" s="745" t="s">
        <v>1449</v>
      </c>
      <c r="B37" s="872" t="s">
        <v>52</v>
      </c>
      <c r="C37" s="873"/>
      <c r="D37" s="769" t="str" cm="1">
        <f t="array" ref="D37">IF(OR(MinimumYieldStrength&lt;=30000,MinimumThickness&lt;= 0.08),"&lt;--Light Gauge Recommended "&amp;MinimumThickness&amp;" / "&amp;MinimumYieldStrength&amp; " psi","")</f>
        <v>&lt;--Light Gauge Recommended 0.035 / 30000 psi</v>
      </c>
    </row>
    <row r="38" spans="1:4" x14ac:dyDescent="0.25">
      <c r="A38" s="745" t="s">
        <v>1450</v>
      </c>
      <c r="B38" s="872" t="s">
        <v>1301</v>
      </c>
      <c r="C38" s="873"/>
    </row>
  </sheetData>
  <sheetProtection algorithmName="SHA-512" hashValue="K8nG+Mxvhf2lOifHxt0I9KHJLj+CWrT+G779dKvFCfMmyKnCrWNi4FxvbZ+ZJw5t/hjbWgO88O+CxlbSy4hgIQ==" saltValue="z7wkYAe877WX1hyb9rIAyg==" spinCount="100000" sheet="1" objects="1" scenarios="1"/>
  <mergeCells count="14">
    <mergeCell ref="B37:C37"/>
    <mergeCell ref="B38:C38"/>
    <mergeCell ref="B34:C34"/>
    <mergeCell ref="B35:C35"/>
    <mergeCell ref="B3:C3"/>
    <mergeCell ref="B4:C4"/>
    <mergeCell ref="B5:C5"/>
    <mergeCell ref="B32:C32"/>
    <mergeCell ref="B28:C28"/>
    <mergeCell ref="B30:C30"/>
    <mergeCell ref="B26:C26"/>
    <mergeCell ref="B27:C27"/>
    <mergeCell ref="B29:C29"/>
    <mergeCell ref="B9:E9"/>
  </mergeCells>
  <conditionalFormatting sqref="B32:C32">
    <cfRule type="cellIs" dxfId="377" priority="1" operator="equal">
      <formula>"11 Roll Str. Backbend"</formula>
    </cfRule>
    <cfRule type="cellIs" dxfId="376" priority="2" operator="equal">
      <formula>"9 Roll Str. Backbend"</formula>
    </cfRule>
    <cfRule type="cellIs" dxfId="375" priority="3" operator="equal">
      <formula>"7 Roll Str. Backbend"</formula>
    </cfRule>
  </conditionalFormatting>
  <dataValidations count="8">
    <dataValidation type="list" allowBlank="1" showInputMessage="1" showErrorMessage="1" sqref="B14 C14 D14 E14" xr:uid="{C5D16EA4-68C7-403C-993D-AAD6F9E1428E}">
      <formula1>ListMaterial</formula1>
    </dataValidation>
    <dataValidation type="list" allowBlank="1" showInputMessage="1" showErrorMessage="1" sqref="B32:C32" xr:uid="{486B5D53-19B0-4A17-B912-8ED499890330}">
      <formula1>ListStrBackbend</formula1>
    </dataValidation>
    <dataValidation type="list" allowBlank="1" showInputMessage="1" showErrorMessage="1" sqref="B26:C26" xr:uid="{1AB0BA35-D77A-4B52-BBA8-7CCE444180C8}">
      <formula1>"R to L,L to R"</formula1>
    </dataValidation>
    <dataValidation type="list" allowBlank="1" showInputMessage="1" showErrorMessage="1" sqref="B27:C27" xr:uid="{D6E1623B-C31E-4A94-84D3-28F5E7710FE0}">
      <formula1>ListControls</formula1>
    </dataValidation>
    <dataValidation type="list" allowBlank="1" showInputMessage="1" showErrorMessage="1" sqref="B28:C28" xr:uid="{D6F8798D-0BB6-4867-9C84-E26322BD000C}">
      <formula1>ListTypeOfLine</formula1>
    </dataValidation>
    <dataValidation type="list" allowBlank="1" showInputMessage="1" showErrorMessage="1" sqref="B34:C34" xr:uid="{27A64D31-FEDF-4017-B5A0-D94BFB5E3A3B}">
      <formula1>"Standard Backplate,Full OD Backplate"</formula1>
    </dataValidation>
    <dataValidation type="list" allowBlank="1" showInputMessage="1" showErrorMessage="1" sqref="B35:C35" xr:uid="{C44F7AE9-2E24-4BCD-AAA9-190A13EAAD6E}">
      <formula1>"Single Ended,Double Ended"</formula1>
    </dataValidation>
    <dataValidation type="list" allowBlank="1" showInputMessage="1" showErrorMessage="1" sqref="B37:C37 B38:C38" xr:uid="{6B2A4517-101C-4E03-8DD8-C1A86BEC566C}">
      <formula1>LookupYesNo</formula1>
    </dataValidation>
  </dataValidations>
  <pageMargins left="0.7" right="0.7" top="0.75" bottom="0.75" header="0.3" footer="0.3"/>
  <pageSetup orientation="portrait" r:id="rId1"/>
  <ignoredErrors>
    <ignoredError sqref="B18:B19 C18:C19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41" r:id="rId4" name="Button 9">
              <controlPr defaultSize="0" print="0" autoFill="0" autoPict="0" macro="[0]!Tbl_Contents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1695450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5" name="Button 27">
              <controlPr defaultSize="0" print="0" autoFill="0" autoPict="0" macro="[0]!GetSpecsFromRFQ">
                <anchor moveWithCells="1" sizeWithCells="1">
                  <from>
                    <xdr:col>1</xdr:col>
                    <xdr:colOff>19050</xdr:colOff>
                    <xdr:row>6</xdr:row>
                    <xdr:rowOff>66675</xdr:rowOff>
                  </from>
                  <to>
                    <xdr:col>2</xdr:col>
                    <xdr:colOff>495300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6" name="Button 29">
              <controlPr defaultSize="0" print="0" autoFill="0" autoPict="0" macro="[0]!ResetBackbendSheets">
                <anchor moveWithCells="1" sizeWithCells="1">
                  <from>
                    <xdr:col>3</xdr:col>
                    <xdr:colOff>19050</xdr:colOff>
                    <xdr:row>6</xdr:row>
                    <xdr:rowOff>66675</xdr:rowOff>
                  </from>
                  <to>
                    <xdr:col>4</xdr:col>
                    <xdr:colOff>1009650</xdr:colOff>
                    <xdr:row>7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F34286A-47CE-4283-AF71-EB53C82FDE58}">
          <x14:formula1>
            <xm:f>Passlines!$A$1:$A$62</xm:f>
          </x14:formula1>
          <xm:sqref>B30:C30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ED4BC-AEDD-443E-BF80-BB54F6D0432C}">
  <sheetPr codeName="Sheet34">
    <tabColor rgb="FF0070C0"/>
  </sheetPr>
  <dimension ref="A1:T813"/>
  <sheetViews>
    <sheetView workbookViewId="0">
      <selection activeCell="D301" sqref="D301"/>
    </sheetView>
  </sheetViews>
  <sheetFormatPr defaultRowHeight="15" x14ac:dyDescent="0.25"/>
  <cols>
    <col min="1" max="1" width="26" customWidth="1"/>
    <col min="2" max="2" width="16" customWidth="1"/>
    <col min="3" max="3" width="20.140625" customWidth="1"/>
    <col min="4" max="4" width="16.42578125" customWidth="1"/>
    <col min="5" max="5" width="16.5703125" customWidth="1"/>
    <col min="6" max="6" width="13.5703125" customWidth="1"/>
    <col min="7" max="7" width="15.7109375" customWidth="1"/>
    <col min="10" max="10" width="15.7109375" customWidth="1"/>
    <col min="11" max="11" width="14.5703125" customWidth="1"/>
    <col min="13" max="13" width="16.140625" customWidth="1"/>
    <col min="14" max="14" width="14.85546875" customWidth="1"/>
    <col min="15" max="15" width="11.7109375" customWidth="1"/>
    <col min="16" max="16" width="14.42578125" customWidth="1"/>
    <col min="17" max="17" width="12.28515625" customWidth="1"/>
  </cols>
  <sheetData>
    <row r="1" spans="1:13" x14ac:dyDescent="0.25">
      <c r="A1" s="684" t="s">
        <v>1069</v>
      </c>
      <c r="B1" s="29" t="s">
        <v>1457</v>
      </c>
    </row>
    <row r="2" spans="1:13" x14ac:dyDescent="0.25">
      <c r="A2" s="566" t="s">
        <v>1456</v>
      </c>
      <c r="B2" t="str" cm="1">
        <f t="array" aca="1" ref="B2" ca="1">IF(ISERROR(MacrosAreEnabled()&amp;NOW()),"Macros are disabled", "Macros are enabled")</f>
        <v>Macros are enabled</v>
      </c>
    </row>
    <row r="3" spans="1:13" x14ac:dyDescent="0.25">
      <c r="A3" s="47" t="s">
        <v>989</v>
      </c>
      <c r="M3" s="47" t="s">
        <v>1297</v>
      </c>
    </row>
    <row r="4" spans="1:13" x14ac:dyDescent="0.25">
      <c r="A4" s="47" t="s">
        <v>1298</v>
      </c>
      <c r="B4" s="47" t="s">
        <v>438</v>
      </c>
      <c r="C4" s="47" t="s">
        <v>1299</v>
      </c>
      <c r="D4" s="47" t="s">
        <v>1300</v>
      </c>
      <c r="E4" s="47" t="s">
        <v>1308</v>
      </c>
      <c r="F4" s="47" t="s">
        <v>1309</v>
      </c>
      <c r="G4" s="47" t="s">
        <v>1310</v>
      </c>
      <c r="H4" s="47" t="s">
        <v>1311</v>
      </c>
      <c r="I4" s="47" t="s">
        <v>1312</v>
      </c>
      <c r="M4" s="47" t="s">
        <v>1298</v>
      </c>
    </row>
    <row r="5" spans="1:13" x14ac:dyDescent="0.25">
      <c r="A5" t="s">
        <v>952</v>
      </c>
      <c r="B5" t="s">
        <v>439</v>
      </c>
      <c r="C5" t="s">
        <v>1133</v>
      </c>
      <c r="D5" t="s">
        <v>1289</v>
      </c>
      <c r="E5" t="s">
        <v>1301</v>
      </c>
      <c r="F5" t="s">
        <v>1301</v>
      </c>
      <c r="G5" t="s">
        <v>1301</v>
      </c>
      <c r="H5" t="s">
        <v>1289</v>
      </c>
      <c r="I5" t="s">
        <v>1289</v>
      </c>
      <c r="M5" t="s">
        <v>952</v>
      </c>
    </row>
    <row r="6" spans="1:13" x14ac:dyDescent="0.25">
      <c r="A6" t="s">
        <v>954</v>
      </c>
      <c r="B6" t="s">
        <v>957</v>
      </c>
      <c r="C6" t="s">
        <v>1133</v>
      </c>
      <c r="D6" t="s">
        <v>1289</v>
      </c>
      <c r="E6" t="s">
        <v>1301</v>
      </c>
      <c r="F6" t="s">
        <v>1301</v>
      </c>
      <c r="G6" t="s">
        <v>1301</v>
      </c>
      <c r="H6" t="s">
        <v>1301</v>
      </c>
      <c r="I6" t="s">
        <v>1301</v>
      </c>
      <c r="M6" t="s">
        <v>954</v>
      </c>
    </row>
    <row r="7" spans="1:13" x14ac:dyDescent="0.25">
      <c r="A7" t="s">
        <v>951</v>
      </c>
      <c r="B7" t="s">
        <v>439</v>
      </c>
      <c r="C7" t="s">
        <v>1132</v>
      </c>
      <c r="D7" t="s">
        <v>1289</v>
      </c>
      <c r="E7" t="s">
        <v>1301</v>
      </c>
      <c r="F7" t="s">
        <v>1301</v>
      </c>
      <c r="G7" t="s">
        <v>1301</v>
      </c>
      <c r="H7" t="s">
        <v>1289</v>
      </c>
      <c r="I7" t="s">
        <v>1289</v>
      </c>
      <c r="M7" t="s">
        <v>951</v>
      </c>
    </row>
    <row r="8" spans="1:13" x14ac:dyDescent="0.25">
      <c r="A8" t="s">
        <v>904</v>
      </c>
      <c r="B8" t="s">
        <v>957</v>
      </c>
      <c r="C8" t="s">
        <v>1132</v>
      </c>
      <c r="D8" t="s">
        <v>1289</v>
      </c>
      <c r="E8" t="s">
        <v>1301</v>
      </c>
      <c r="F8" t="s">
        <v>1301</v>
      </c>
      <c r="G8" t="s">
        <v>1301</v>
      </c>
      <c r="H8" t="s">
        <v>1301</v>
      </c>
      <c r="I8" t="s">
        <v>1301</v>
      </c>
      <c r="M8" t="s">
        <v>904</v>
      </c>
    </row>
    <row r="9" spans="1:13" x14ac:dyDescent="0.25">
      <c r="A9" t="s">
        <v>1291</v>
      </c>
      <c r="B9" t="s">
        <v>439</v>
      </c>
      <c r="C9" t="s">
        <v>1296</v>
      </c>
      <c r="D9" t="s">
        <v>1289</v>
      </c>
      <c r="E9" t="s">
        <v>1289</v>
      </c>
      <c r="F9" t="s">
        <v>1289</v>
      </c>
      <c r="G9" t="s">
        <v>1301</v>
      </c>
      <c r="H9" t="s">
        <v>1289</v>
      </c>
      <c r="I9" t="s">
        <v>1289</v>
      </c>
      <c r="M9" t="s">
        <v>953</v>
      </c>
    </row>
    <row r="10" spans="1:13" x14ac:dyDescent="0.25">
      <c r="A10" t="s">
        <v>1305</v>
      </c>
      <c r="B10" t="s">
        <v>439</v>
      </c>
      <c r="C10" t="s">
        <v>1296</v>
      </c>
      <c r="D10" t="s">
        <v>1301</v>
      </c>
      <c r="E10" t="s">
        <v>1289</v>
      </c>
      <c r="F10" t="s">
        <v>1289</v>
      </c>
      <c r="G10" t="s">
        <v>1301</v>
      </c>
      <c r="H10" t="s">
        <v>1289</v>
      </c>
      <c r="I10" t="s">
        <v>1289</v>
      </c>
      <c r="M10" t="s">
        <v>956</v>
      </c>
    </row>
    <row r="11" spans="1:13" x14ac:dyDescent="0.25">
      <c r="A11" t="s">
        <v>1306</v>
      </c>
      <c r="B11" t="s">
        <v>439</v>
      </c>
      <c r="C11" t="s">
        <v>1296</v>
      </c>
      <c r="D11" t="s">
        <v>1301</v>
      </c>
      <c r="E11" t="s">
        <v>1289</v>
      </c>
      <c r="F11" t="s">
        <v>1289</v>
      </c>
      <c r="G11" t="s">
        <v>1301</v>
      </c>
      <c r="H11" t="s">
        <v>1289</v>
      </c>
      <c r="I11" t="s">
        <v>1301</v>
      </c>
      <c r="M11" t="s">
        <v>955</v>
      </c>
    </row>
    <row r="12" spans="1:13" x14ac:dyDescent="0.25">
      <c r="A12" t="s">
        <v>1307</v>
      </c>
      <c r="B12" t="s">
        <v>439</v>
      </c>
      <c r="C12" t="s">
        <v>1296</v>
      </c>
      <c r="D12" t="s">
        <v>1289</v>
      </c>
      <c r="E12" t="s">
        <v>1289</v>
      </c>
      <c r="F12" t="s">
        <v>1289</v>
      </c>
      <c r="G12" t="s">
        <v>1301</v>
      </c>
      <c r="H12" t="s">
        <v>1289</v>
      </c>
      <c r="I12" t="s">
        <v>1301</v>
      </c>
      <c r="M12" t="s">
        <v>1291</v>
      </c>
    </row>
    <row r="13" spans="1:13" x14ac:dyDescent="0.25">
      <c r="A13" t="s">
        <v>1118</v>
      </c>
      <c r="B13" t="s">
        <v>439</v>
      </c>
      <c r="C13" t="s">
        <v>1132</v>
      </c>
      <c r="D13" t="s">
        <v>1289</v>
      </c>
      <c r="E13" t="s">
        <v>1301</v>
      </c>
      <c r="F13" t="s">
        <v>1301</v>
      </c>
      <c r="G13" t="s">
        <v>1301</v>
      </c>
      <c r="H13" t="s">
        <v>1289</v>
      </c>
      <c r="I13" t="s">
        <v>1301</v>
      </c>
      <c r="M13" t="s">
        <v>1305</v>
      </c>
    </row>
    <row r="14" spans="1:13" x14ac:dyDescent="0.25">
      <c r="A14" t="s">
        <v>953</v>
      </c>
      <c r="B14" t="s">
        <v>439</v>
      </c>
      <c r="C14" t="s">
        <v>1133</v>
      </c>
      <c r="D14" t="s">
        <v>1301</v>
      </c>
      <c r="E14" t="s">
        <v>1301</v>
      </c>
      <c r="F14" t="s">
        <v>1289</v>
      </c>
      <c r="G14" t="s">
        <v>1301</v>
      </c>
      <c r="H14" t="s">
        <v>1289</v>
      </c>
      <c r="I14" t="s">
        <v>1289</v>
      </c>
      <c r="M14" t="s">
        <v>1306</v>
      </c>
    </row>
    <row r="15" spans="1:13" x14ac:dyDescent="0.25">
      <c r="A15" t="s">
        <v>956</v>
      </c>
      <c r="B15" t="s">
        <v>439</v>
      </c>
      <c r="C15" t="s">
        <v>1133</v>
      </c>
      <c r="D15" t="s">
        <v>1301</v>
      </c>
      <c r="E15" t="s">
        <v>1301</v>
      </c>
      <c r="F15" t="s">
        <v>1289</v>
      </c>
      <c r="G15" t="s">
        <v>1301</v>
      </c>
      <c r="H15" t="s">
        <v>1289</v>
      </c>
      <c r="I15" t="s">
        <v>1289</v>
      </c>
      <c r="M15" t="s">
        <v>1307</v>
      </c>
    </row>
    <row r="16" spans="1:13" x14ac:dyDescent="0.25">
      <c r="A16" t="s">
        <v>955</v>
      </c>
      <c r="B16" t="s">
        <v>957</v>
      </c>
      <c r="C16" t="s">
        <v>1133</v>
      </c>
      <c r="D16" t="s">
        <v>1301</v>
      </c>
      <c r="E16" t="s">
        <v>1301</v>
      </c>
      <c r="F16" t="s">
        <v>1289</v>
      </c>
      <c r="G16" t="s">
        <v>1301</v>
      </c>
      <c r="H16" t="s">
        <v>1289</v>
      </c>
      <c r="I16" t="s">
        <v>1301</v>
      </c>
      <c r="M16" t="s">
        <v>1292</v>
      </c>
    </row>
    <row r="17" spans="1:13" x14ac:dyDescent="0.25">
      <c r="A17" t="s">
        <v>1454</v>
      </c>
      <c r="B17" t="s">
        <v>439</v>
      </c>
      <c r="C17" t="s">
        <v>1133</v>
      </c>
      <c r="D17" t="s">
        <v>1289</v>
      </c>
      <c r="E17" t="s">
        <v>1301</v>
      </c>
      <c r="F17" t="s">
        <v>1289</v>
      </c>
      <c r="G17" t="s">
        <v>1289</v>
      </c>
      <c r="H17" t="s">
        <v>1289</v>
      </c>
      <c r="I17" t="s">
        <v>1289</v>
      </c>
      <c r="M17" t="s">
        <v>1226</v>
      </c>
    </row>
    <row r="18" spans="1:13" x14ac:dyDescent="0.25">
      <c r="A18" t="s">
        <v>1455</v>
      </c>
      <c r="B18" t="s">
        <v>439</v>
      </c>
      <c r="C18" t="s">
        <v>1132</v>
      </c>
      <c r="D18" t="s">
        <v>1289</v>
      </c>
      <c r="E18" t="s">
        <v>1301</v>
      </c>
      <c r="F18" t="s">
        <v>1289</v>
      </c>
      <c r="G18" t="s">
        <v>1289</v>
      </c>
      <c r="H18" t="s">
        <v>1289</v>
      </c>
      <c r="I18" t="s">
        <v>1289</v>
      </c>
      <c r="M18" t="s">
        <v>1454</v>
      </c>
    </row>
    <row r="19" spans="1:13" x14ac:dyDescent="0.25">
      <c r="A19" t="s">
        <v>1292</v>
      </c>
      <c r="B19" t="s">
        <v>439</v>
      </c>
      <c r="C19" t="s">
        <v>1296</v>
      </c>
      <c r="D19" t="s">
        <v>1289</v>
      </c>
      <c r="E19" t="s">
        <v>1289</v>
      </c>
      <c r="F19" t="s">
        <v>1301</v>
      </c>
      <c r="G19" t="s">
        <v>1289</v>
      </c>
      <c r="H19" t="s">
        <v>1289</v>
      </c>
      <c r="I19" t="s">
        <v>1289</v>
      </c>
      <c r="M19" t="s">
        <v>1455</v>
      </c>
    </row>
    <row r="20" spans="1:13" x14ac:dyDescent="0.25">
      <c r="A20" t="s">
        <v>1226</v>
      </c>
      <c r="B20" t="s">
        <v>439</v>
      </c>
      <c r="C20" t="s">
        <v>1132</v>
      </c>
      <c r="D20" t="s">
        <v>1289</v>
      </c>
      <c r="E20" t="s">
        <v>1301</v>
      </c>
      <c r="F20" t="s">
        <v>1301</v>
      </c>
      <c r="G20" t="s">
        <v>1289</v>
      </c>
      <c r="H20" t="s">
        <v>1289</v>
      </c>
      <c r="I20" t="s">
        <v>1289</v>
      </c>
      <c r="M20" t="s">
        <v>1290</v>
      </c>
    </row>
    <row r="21" spans="1:13" x14ac:dyDescent="0.25">
      <c r="A21" t="s">
        <v>1290</v>
      </c>
      <c r="B21" t="s">
        <v>439</v>
      </c>
      <c r="C21" t="s">
        <v>1296</v>
      </c>
      <c r="D21" t="s">
        <v>1289</v>
      </c>
      <c r="E21" t="s">
        <v>1289</v>
      </c>
      <c r="F21" t="s">
        <v>1289</v>
      </c>
      <c r="G21" t="s">
        <v>1289</v>
      </c>
      <c r="H21" t="s">
        <v>1289</v>
      </c>
      <c r="I21" t="s">
        <v>1289</v>
      </c>
      <c r="M21" t="s">
        <v>1118</v>
      </c>
    </row>
    <row r="23" spans="1:13" x14ac:dyDescent="0.25">
      <c r="B23" s="47" t="s">
        <v>1302</v>
      </c>
      <c r="C23" s="47" t="s">
        <v>1303</v>
      </c>
      <c r="D23" s="47" t="s">
        <v>1304</v>
      </c>
      <c r="E23" s="47" t="s">
        <v>1313</v>
      </c>
      <c r="F23" s="47" t="s">
        <v>1314</v>
      </c>
      <c r="G23" s="47" t="s">
        <v>1315</v>
      </c>
      <c r="H23" s="47" t="s">
        <v>1316</v>
      </c>
      <c r="I23" s="47" t="s">
        <v>1317</v>
      </c>
    </row>
    <row r="24" spans="1:13" x14ac:dyDescent="0.25">
      <c r="A24" t="str">
        <f>TypeOfLine</f>
        <v>Conventional</v>
      </c>
      <c r="B24" t="str">
        <f>VLOOKUP($A$24, LookupTypeOfLine, 2, FALSE)</f>
        <v>Press Feed</v>
      </c>
      <c r="C24" t="str">
        <f>VLOOKUP($A$24, LookupTypeOfLine, 3, FALSE)</f>
        <v>PullOff</v>
      </c>
      <c r="D24" t="str">
        <f>VLOOKUP($A$24, LookupTypeOfLine, 4, FALSE)</f>
        <v>No</v>
      </c>
      <c r="E24" t="str">
        <f>VLOOKUP($A$24, LookupTypeOfLine, 5, FALSE)</f>
        <v>Yes</v>
      </c>
      <c r="F24" t="str">
        <f>VLOOKUP($A$24, LookupTypeOfLine, 6, FALSE)</f>
        <v>Yes</v>
      </c>
      <c r="G24" t="str">
        <f>VLOOKUP($A$24, LookupTypeOfLine, 7, FALSE)</f>
        <v>Yes</v>
      </c>
      <c r="H24" t="str">
        <f>VLOOKUP($A$24, LookupTypeOfLine, 8, FALSE)</f>
        <v>No</v>
      </c>
      <c r="I24" t="str">
        <f>VLOOKUP($A$24, LookupTypeOfLine, 9, FALSE)</f>
        <v>No</v>
      </c>
    </row>
    <row r="27" spans="1:13" x14ac:dyDescent="0.25">
      <c r="A27" s="47" t="s">
        <v>971</v>
      </c>
    </row>
    <row r="28" spans="1:13" x14ac:dyDescent="0.25">
      <c r="A28" t="s">
        <v>515</v>
      </c>
    </row>
    <row r="29" spans="1:13" x14ac:dyDescent="0.25">
      <c r="A29" t="s">
        <v>439</v>
      </c>
    </row>
    <row r="32" spans="1:13" x14ac:dyDescent="0.25">
      <c r="A32" s="47" t="s">
        <v>1091</v>
      </c>
      <c r="E32" s="47" t="s">
        <v>1100</v>
      </c>
    </row>
    <row r="33" spans="1:7" x14ac:dyDescent="0.25">
      <c r="A33" t="s">
        <v>1237</v>
      </c>
      <c r="B33">
        <v>2</v>
      </c>
      <c r="E33" t="s">
        <v>1233</v>
      </c>
    </row>
    <row r="34" spans="1:7" x14ac:dyDescent="0.25">
      <c r="A34" t="s">
        <v>1239</v>
      </c>
      <c r="B34">
        <v>3</v>
      </c>
      <c r="E34" t="s">
        <v>1234</v>
      </c>
    </row>
    <row r="35" spans="1:7" x14ac:dyDescent="0.25">
      <c r="A35" t="s">
        <v>1240</v>
      </c>
      <c r="B35">
        <v>4</v>
      </c>
      <c r="E35" t="s">
        <v>1235</v>
      </c>
    </row>
    <row r="36" spans="1:7" x14ac:dyDescent="0.25">
      <c r="A36" t="s">
        <v>1236</v>
      </c>
      <c r="B36">
        <v>2</v>
      </c>
      <c r="E36" t="s">
        <v>1236</v>
      </c>
    </row>
    <row r="37" spans="1:7" x14ac:dyDescent="0.25">
      <c r="A37" t="s">
        <v>1238</v>
      </c>
      <c r="B37">
        <v>3</v>
      </c>
      <c r="E37" t="s">
        <v>1237</v>
      </c>
    </row>
    <row r="38" spans="1:7" x14ac:dyDescent="0.25">
      <c r="A38" t="s">
        <v>1233</v>
      </c>
      <c r="B38">
        <v>0</v>
      </c>
      <c r="E38" t="s">
        <v>1453</v>
      </c>
    </row>
    <row r="39" spans="1:7" x14ac:dyDescent="0.25">
      <c r="A39" t="s">
        <v>1234</v>
      </c>
      <c r="B39">
        <v>0</v>
      </c>
      <c r="E39" t="s">
        <v>1238</v>
      </c>
    </row>
    <row r="40" spans="1:7" x14ac:dyDescent="0.25">
      <c r="A40" t="s">
        <v>1235</v>
      </c>
      <c r="B40">
        <v>1</v>
      </c>
      <c r="E40" t="s">
        <v>1239</v>
      </c>
    </row>
    <row r="41" spans="1:7" x14ac:dyDescent="0.25">
      <c r="A41" t="s">
        <v>1453</v>
      </c>
      <c r="B41">
        <v>3</v>
      </c>
      <c r="E41" t="s">
        <v>1240</v>
      </c>
    </row>
    <row r="44" spans="1:7" x14ac:dyDescent="0.25">
      <c r="A44">
        <v>1</v>
      </c>
      <c r="B44">
        <v>2</v>
      </c>
      <c r="C44">
        <v>3</v>
      </c>
      <c r="D44">
        <v>4</v>
      </c>
    </row>
    <row r="45" spans="1:7" x14ac:dyDescent="0.25">
      <c r="A45" s="47" t="s">
        <v>970</v>
      </c>
      <c r="G45" s="47" t="s">
        <v>1271</v>
      </c>
    </row>
    <row r="46" spans="1:7" x14ac:dyDescent="0.25">
      <c r="A46" t="s">
        <v>63</v>
      </c>
      <c r="B46" t="s">
        <v>195</v>
      </c>
      <c r="C46" t="s">
        <v>194</v>
      </c>
      <c r="D46" t="s">
        <v>449</v>
      </c>
      <c r="G46" t="s">
        <v>63</v>
      </c>
    </row>
    <row r="47" spans="1:7" x14ac:dyDescent="0.25">
      <c r="A47" t="s">
        <v>191</v>
      </c>
      <c r="B47">
        <v>20000</v>
      </c>
      <c r="C47">
        <v>10600000</v>
      </c>
      <c r="D47" s="39">
        <v>9.8000000000000004E-2</v>
      </c>
      <c r="G47" t="s">
        <v>1149</v>
      </c>
    </row>
    <row r="48" spans="1:7" x14ac:dyDescent="0.25">
      <c r="A48" t="s">
        <v>186</v>
      </c>
      <c r="B48">
        <v>30000</v>
      </c>
      <c r="C48">
        <v>19000000</v>
      </c>
      <c r="D48" s="39">
        <v>0.3</v>
      </c>
      <c r="G48" t="s">
        <v>1150</v>
      </c>
    </row>
    <row r="49" spans="1:7" x14ac:dyDescent="0.25">
      <c r="A49" t="s">
        <v>182</v>
      </c>
      <c r="B49">
        <v>20000</v>
      </c>
      <c r="C49">
        <v>15000000</v>
      </c>
      <c r="D49" s="39">
        <v>0.31</v>
      </c>
      <c r="G49" t="s">
        <v>1273</v>
      </c>
    </row>
    <row r="50" spans="1:7" x14ac:dyDescent="0.25">
      <c r="A50" t="s">
        <v>1267</v>
      </c>
      <c r="B50">
        <v>60000</v>
      </c>
      <c r="C50">
        <v>29000000</v>
      </c>
      <c r="D50" s="39">
        <v>0.28299999999999997</v>
      </c>
      <c r="G50" t="s">
        <v>1272</v>
      </c>
    </row>
    <row r="51" spans="1:7" x14ac:dyDescent="0.25">
      <c r="A51" t="s">
        <v>1266</v>
      </c>
      <c r="B51">
        <v>60000</v>
      </c>
      <c r="C51">
        <v>29000000</v>
      </c>
      <c r="D51" s="39">
        <v>0.28299999999999997</v>
      </c>
      <c r="G51" t="s">
        <v>1153</v>
      </c>
    </row>
    <row r="52" spans="1:7" x14ac:dyDescent="0.25">
      <c r="A52" t="s">
        <v>1269</v>
      </c>
      <c r="B52">
        <v>60000</v>
      </c>
      <c r="C52">
        <v>29000000</v>
      </c>
      <c r="D52" s="39">
        <v>0.28299999999999997</v>
      </c>
      <c r="G52" t="s">
        <v>1152</v>
      </c>
    </row>
    <row r="53" spans="1:7" x14ac:dyDescent="0.25">
      <c r="A53" t="s">
        <v>1270</v>
      </c>
      <c r="B53">
        <v>60000</v>
      </c>
      <c r="C53">
        <v>29000000</v>
      </c>
      <c r="D53" s="39">
        <v>0.28299999999999997</v>
      </c>
      <c r="G53" t="s">
        <v>1151</v>
      </c>
    </row>
    <row r="54" spans="1:7" x14ac:dyDescent="0.25">
      <c r="A54" t="s">
        <v>1274</v>
      </c>
      <c r="B54">
        <v>60000</v>
      </c>
      <c r="C54">
        <v>29000000</v>
      </c>
      <c r="D54" s="39">
        <v>0.28299999999999997</v>
      </c>
      <c r="G54" t="s">
        <v>1224</v>
      </c>
    </row>
    <row r="55" spans="1:7" x14ac:dyDescent="0.25">
      <c r="A55" t="s">
        <v>1268</v>
      </c>
      <c r="B55">
        <v>90000</v>
      </c>
      <c r="C55">
        <v>27600000</v>
      </c>
      <c r="D55" s="39">
        <v>0.28999999999999998</v>
      </c>
      <c r="G55" t="s">
        <v>1265</v>
      </c>
    </row>
    <row r="56" spans="1:7" x14ac:dyDescent="0.25">
      <c r="A56" t="s">
        <v>64</v>
      </c>
      <c r="B56">
        <v>60000</v>
      </c>
      <c r="C56">
        <v>29000000</v>
      </c>
      <c r="D56" s="39">
        <v>0.28299999999999997</v>
      </c>
      <c r="G56" t="s">
        <v>1223</v>
      </c>
    </row>
    <row r="57" spans="1:7" x14ac:dyDescent="0.25">
      <c r="A57" t="s">
        <v>173</v>
      </c>
      <c r="B57">
        <v>80000</v>
      </c>
      <c r="C57">
        <v>15500000</v>
      </c>
      <c r="D57" s="39">
        <v>0.16300000000000001</v>
      </c>
    </row>
    <row r="60" spans="1:7" x14ac:dyDescent="0.25">
      <c r="A60" s="47" t="s">
        <v>969</v>
      </c>
    </row>
    <row r="61" spans="1:7" x14ac:dyDescent="0.25">
      <c r="A61" t="s">
        <v>160</v>
      </c>
      <c r="B61" t="s">
        <v>960</v>
      </c>
    </row>
    <row r="62" spans="1:7" x14ac:dyDescent="0.25">
      <c r="A62" t="s">
        <v>1244</v>
      </c>
      <c r="B62" s="38">
        <v>4000</v>
      </c>
    </row>
    <row r="63" spans="1:7" x14ac:dyDescent="0.25">
      <c r="A63" t="s">
        <v>1245</v>
      </c>
      <c r="B63" s="38">
        <v>6000</v>
      </c>
    </row>
    <row r="64" spans="1:7" x14ac:dyDescent="0.25">
      <c r="A64" t="s">
        <v>1246</v>
      </c>
      <c r="B64" s="38">
        <v>8000</v>
      </c>
    </row>
    <row r="65" spans="1:10" x14ac:dyDescent="0.25">
      <c r="A65" t="s">
        <v>42</v>
      </c>
      <c r="B65" s="38">
        <v>10000</v>
      </c>
    </row>
    <row r="66" spans="1:10" x14ac:dyDescent="0.25">
      <c r="A66" t="s">
        <v>48</v>
      </c>
      <c r="B66" s="38">
        <v>15000</v>
      </c>
    </row>
    <row r="67" spans="1:10" x14ac:dyDescent="0.25">
      <c r="A67" t="s">
        <v>43</v>
      </c>
      <c r="B67" s="38">
        <v>20000</v>
      </c>
    </row>
    <row r="68" spans="1:10" x14ac:dyDescent="0.25">
      <c r="A68" t="s">
        <v>44</v>
      </c>
      <c r="B68" s="38">
        <v>30000</v>
      </c>
    </row>
    <row r="69" spans="1:10" x14ac:dyDescent="0.25">
      <c r="A69" t="s">
        <v>45</v>
      </c>
      <c r="B69" s="38">
        <v>40000</v>
      </c>
    </row>
    <row r="70" spans="1:10" x14ac:dyDescent="0.25">
      <c r="A70" t="s">
        <v>46</v>
      </c>
      <c r="B70" s="38">
        <v>50000</v>
      </c>
    </row>
    <row r="71" spans="1:10" x14ac:dyDescent="0.25">
      <c r="A71" t="s">
        <v>47</v>
      </c>
      <c r="B71" s="38">
        <v>60000</v>
      </c>
    </row>
    <row r="75" spans="1:10" x14ac:dyDescent="0.25">
      <c r="A75">
        <v>1</v>
      </c>
      <c r="B75">
        <v>2</v>
      </c>
      <c r="C75">
        <v>3</v>
      </c>
      <c r="D75">
        <v>4</v>
      </c>
      <c r="E75">
        <v>5</v>
      </c>
      <c r="F75">
        <v>6</v>
      </c>
      <c r="G75">
        <v>7</v>
      </c>
      <c r="H75">
        <v>8</v>
      </c>
      <c r="I75">
        <v>9</v>
      </c>
      <c r="J75">
        <v>10</v>
      </c>
    </row>
    <row r="76" spans="1:10" x14ac:dyDescent="0.25">
      <c r="A76" s="532" t="s">
        <v>15</v>
      </c>
      <c r="B76" s="532" t="s">
        <v>12</v>
      </c>
      <c r="C76" s="532" t="s">
        <v>13</v>
      </c>
      <c r="D76" s="532" t="s">
        <v>19</v>
      </c>
      <c r="E76" s="532" t="s">
        <v>20</v>
      </c>
      <c r="F76" s="532" t="s">
        <v>16</v>
      </c>
      <c r="G76" s="532" t="s">
        <v>17</v>
      </c>
    </row>
    <row r="77" spans="1:10" x14ac:dyDescent="0.25">
      <c r="A77">
        <v>22.6</v>
      </c>
      <c r="B77">
        <v>10</v>
      </c>
      <c r="C77">
        <v>2.9089999999999998</v>
      </c>
      <c r="D77">
        <v>4.75</v>
      </c>
      <c r="E77" t="s">
        <v>14</v>
      </c>
      <c r="F77">
        <v>2.8980000000000001</v>
      </c>
      <c r="G77">
        <v>3.2360000000000002</v>
      </c>
    </row>
    <row r="78" spans="1:10" x14ac:dyDescent="0.25">
      <c r="A78">
        <v>40.6</v>
      </c>
      <c r="B78">
        <v>10</v>
      </c>
      <c r="C78">
        <v>2.9</v>
      </c>
      <c r="D78">
        <v>3.42</v>
      </c>
      <c r="E78" t="s">
        <v>14</v>
      </c>
      <c r="F78">
        <v>2.8980000000000001</v>
      </c>
      <c r="G78">
        <v>3.2360000000000002</v>
      </c>
    </row>
    <row r="79" spans="1:10" x14ac:dyDescent="0.25">
      <c r="A79">
        <v>57.4</v>
      </c>
      <c r="B79">
        <v>14.75</v>
      </c>
      <c r="C79">
        <v>3.8</v>
      </c>
      <c r="D79">
        <v>6.9089999999999998</v>
      </c>
      <c r="E79">
        <v>2.9</v>
      </c>
      <c r="F79">
        <v>3.2360000000000002</v>
      </c>
      <c r="G79">
        <v>4.4370000000000003</v>
      </c>
    </row>
    <row r="80" spans="1:10" x14ac:dyDescent="0.25">
      <c r="A80">
        <v>60</v>
      </c>
      <c r="B80">
        <v>11.85</v>
      </c>
      <c r="C80">
        <v>4.2300000000000004</v>
      </c>
      <c r="D80">
        <v>6.9089999999999998</v>
      </c>
      <c r="E80" t="s">
        <v>14</v>
      </c>
      <c r="F80">
        <v>2.8980000000000001</v>
      </c>
      <c r="G80">
        <v>3.2360000000000002</v>
      </c>
    </row>
    <row r="83" spans="1:10" x14ac:dyDescent="0.25">
      <c r="A83" s="47" t="s">
        <v>968</v>
      </c>
      <c r="H83" s="47" t="s">
        <v>1097</v>
      </c>
    </row>
    <row r="84" spans="1:10" x14ac:dyDescent="0.25">
      <c r="A84" t="s">
        <v>160</v>
      </c>
      <c r="B84" t="s">
        <v>961</v>
      </c>
      <c r="H84" t="s">
        <v>160</v>
      </c>
    </row>
    <row r="85" spans="1:10" x14ac:dyDescent="0.25">
      <c r="A85" t="s">
        <v>818</v>
      </c>
      <c r="B85">
        <v>23.876100000000001</v>
      </c>
      <c r="C85" t="s">
        <v>818</v>
      </c>
      <c r="D85" t="s">
        <v>1318</v>
      </c>
      <c r="E85" t="s">
        <v>1328</v>
      </c>
      <c r="H85" t="s">
        <v>70</v>
      </c>
      <c r="J85" t="s">
        <v>1319</v>
      </c>
    </row>
    <row r="86" spans="1:10" x14ac:dyDescent="0.25">
      <c r="A86" t="s">
        <v>70</v>
      </c>
      <c r="B86">
        <v>3.67</v>
      </c>
      <c r="C86" t="s">
        <v>70</v>
      </c>
      <c r="D86" t="s">
        <v>1319</v>
      </c>
      <c r="E86" t="s">
        <v>1288</v>
      </c>
      <c r="H86" t="s">
        <v>71</v>
      </c>
      <c r="J86" t="s">
        <v>1320</v>
      </c>
    </row>
    <row r="87" spans="1:10" x14ac:dyDescent="0.25">
      <c r="A87" t="s">
        <v>71</v>
      </c>
      <c r="B87">
        <v>3.9666000000000001</v>
      </c>
      <c r="C87" t="s">
        <v>71</v>
      </c>
      <c r="D87" t="s">
        <v>1320</v>
      </c>
      <c r="E87" t="s">
        <v>1328</v>
      </c>
      <c r="H87" t="s">
        <v>72</v>
      </c>
      <c r="J87" t="s">
        <v>1321</v>
      </c>
    </row>
    <row r="88" spans="1:10" x14ac:dyDescent="0.25">
      <c r="A88" t="s">
        <v>72</v>
      </c>
      <c r="B88">
        <v>7.2266000000000004</v>
      </c>
      <c r="C88" t="s">
        <v>72</v>
      </c>
      <c r="D88" t="s">
        <v>1321</v>
      </c>
      <c r="E88" t="s">
        <v>1328</v>
      </c>
      <c r="H88" t="s">
        <v>73</v>
      </c>
      <c r="J88" t="s">
        <v>1322</v>
      </c>
    </row>
    <row r="89" spans="1:10" x14ac:dyDescent="0.25">
      <c r="A89" t="s">
        <v>73</v>
      </c>
      <c r="B89">
        <v>10.5093</v>
      </c>
      <c r="C89" t="s">
        <v>73</v>
      </c>
      <c r="D89" t="s">
        <v>1322</v>
      </c>
      <c r="E89" t="s">
        <v>1328</v>
      </c>
      <c r="H89" t="s">
        <v>818</v>
      </c>
      <c r="J89" t="s">
        <v>1318</v>
      </c>
    </row>
    <row r="90" spans="1:10" x14ac:dyDescent="0.25">
      <c r="C90" t="s">
        <v>1323</v>
      </c>
      <c r="D90" t="s">
        <v>1324</v>
      </c>
      <c r="E90" t="s">
        <v>1329</v>
      </c>
      <c r="H90" t="s">
        <v>1323</v>
      </c>
      <c r="J90" t="s">
        <v>1324</v>
      </c>
    </row>
    <row r="91" spans="1:10" x14ac:dyDescent="0.25">
      <c r="C91" t="s">
        <v>1323</v>
      </c>
      <c r="D91" t="s">
        <v>1324</v>
      </c>
      <c r="E91" t="s">
        <v>1330</v>
      </c>
      <c r="H91" t="s">
        <v>1294</v>
      </c>
      <c r="J91" t="s">
        <v>1325</v>
      </c>
    </row>
    <row r="92" spans="1:10" x14ac:dyDescent="0.25">
      <c r="C92" t="s">
        <v>1294</v>
      </c>
      <c r="D92" t="s">
        <v>1325</v>
      </c>
      <c r="E92" t="s">
        <v>1329</v>
      </c>
      <c r="H92" t="s">
        <v>1327</v>
      </c>
      <c r="J92" t="s">
        <v>1326</v>
      </c>
    </row>
    <row r="93" spans="1:10" x14ac:dyDescent="0.25">
      <c r="C93" t="s">
        <v>1327</v>
      </c>
      <c r="D93" t="s">
        <v>1326</v>
      </c>
      <c r="E93" t="s">
        <v>1329</v>
      </c>
    </row>
    <row r="94" spans="1:10" x14ac:dyDescent="0.25">
      <c r="C94" t="s">
        <v>1327</v>
      </c>
      <c r="D94" t="s">
        <v>1326</v>
      </c>
      <c r="E94" t="s">
        <v>1330</v>
      </c>
    </row>
    <row r="95" spans="1:10" x14ac:dyDescent="0.25">
      <c r="C95" t="s">
        <v>1327</v>
      </c>
      <c r="D95" t="s">
        <v>1326</v>
      </c>
      <c r="E95" t="s">
        <v>1328</v>
      </c>
    </row>
    <row r="98" spans="1:14" x14ac:dyDescent="0.25">
      <c r="A98" s="47" t="s">
        <v>967</v>
      </c>
      <c r="D98" s="47" t="s">
        <v>1099</v>
      </c>
    </row>
    <row r="99" spans="1:14" x14ac:dyDescent="0.25">
      <c r="A99" t="s">
        <v>964</v>
      </c>
      <c r="B99" t="s">
        <v>58</v>
      </c>
      <c r="D99" t="s">
        <v>964</v>
      </c>
    </row>
    <row r="100" spans="1:14" x14ac:dyDescent="0.25">
      <c r="A100" t="s">
        <v>33</v>
      </c>
      <c r="B100">
        <v>4</v>
      </c>
      <c r="D100" t="s">
        <v>32</v>
      </c>
    </row>
    <row r="101" spans="1:14" x14ac:dyDescent="0.25">
      <c r="A101" t="s">
        <v>35</v>
      </c>
      <c r="B101">
        <v>5</v>
      </c>
      <c r="D101" t="s">
        <v>33</v>
      </c>
    </row>
    <row r="102" spans="1:14" x14ac:dyDescent="0.25">
      <c r="A102" t="s">
        <v>959</v>
      </c>
      <c r="B102">
        <v>5</v>
      </c>
      <c r="D102" t="s">
        <v>34</v>
      </c>
    </row>
    <row r="103" spans="1:14" x14ac:dyDescent="0.25">
      <c r="A103" t="s">
        <v>32</v>
      </c>
      <c r="B103">
        <v>4</v>
      </c>
      <c r="D103" t="s">
        <v>959</v>
      </c>
    </row>
    <row r="104" spans="1:14" x14ac:dyDescent="0.25">
      <c r="A104" t="s">
        <v>34</v>
      </c>
      <c r="B104">
        <v>4</v>
      </c>
      <c r="D104" t="s">
        <v>35</v>
      </c>
    </row>
    <row r="106" spans="1:14" x14ac:dyDescent="0.25">
      <c r="A106" s="47" t="s">
        <v>966</v>
      </c>
    </row>
    <row r="107" spans="1:14" x14ac:dyDescent="0.25">
      <c r="A107">
        <v>1</v>
      </c>
    </row>
    <row r="108" spans="1:14" x14ac:dyDescent="0.25">
      <c r="A108">
        <v>2</v>
      </c>
    </row>
    <row r="109" spans="1:14" x14ac:dyDescent="0.25">
      <c r="A109">
        <v>3</v>
      </c>
    </row>
    <row r="111" spans="1:14" x14ac:dyDescent="0.25">
      <c r="A111">
        <v>1</v>
      </c>
      <c r="B111">
        <v>2</v>
      </c>
      <c r="C111">
        <v>3</v>
      </c>
      <c r="D111">
        <v>4</v>
      </c>
      <c r="E111">
        <v>5</v>
      </c>
      <c r="F111">
        <v>6</v>
      </c>
      <c r="G111">
        <v>7</v>
      </c>
      <c r="H111">
        <v>8</v>
      </c>
      <c r="I111">
        <v>9</v>
      </c>
      <c r="J111">
        <v>10</v>
      </c>
      <c r="K111">
        <v>11</v>
      </c>
      <c r="L111">
        <v>12</v>
      </c>
      <c r="M111">
        <v>13</v>
      </c>
      <c r="N111">
        <v>14</v>
      </c>
    </row>
    <row r="112" spans="1:14" x14ac:dyDescent="0.25">
      <c r="A112" s="47" t="s">
        <v>972</v>
      </c>
    </row>
    <row r="113" spans="1:16" x14ac:dyDescent="0.25">
      <c r="A113" t="s">
        <v>160</v>
      </c>
      <c r="B113" t="s">
        <v>159</v>
      </c>
      <c r="C113" t="s">
        <v>158</v>
      </c>
      <c r="D113" t="s">
        <v>157</v>
      </c>
      <c r="E113" t="s">
        <v>156</v>
      </c>
      <c r="F113" t="s">
        <v>155</v>
      </c>
      <c r="G113" t="s">
        <v>154</v>
      </c>
      <c r="H113" t="s">
        <v>153</v>
      </c>
      <c r="I113" t="s">
        <v>991</v>
      </c>
      <c r="J113" t="s">
        <v>992</v>
      </c>
      <c r="K113" t="s">
        <v>993</v>
      </c>
      <c r="L113" t="s">
        <v>994</v>
      </c>
      <c r="M113" t="s">
        <v>962</v>
      </c>
      <c r="N113" t="s">
        <v>1070</v>
      </c>
    </row>
    <row r="114" spans="1:16" x14ac:dyDescent="0.25">
      <c r="A114" t="s">
        <v>150</v>
      </c>
      <c r="B114">
        <v>1.75</v>
      </c>
      <c r="C114">
        <v>2.5</v>
      </c>
      <c r="D114">
        <v>2.25</v>
      </c>
      <c r="E114">
        <v>1780</v>
      </c>
      <c r="F114">
        <v>-0.38</v>
      </c>
      <c r="G114">
        <v>0.79400000000000004</v>
      </c>
      <c r="H114">
        <v>0.75</v>
      </c>
      <c r="I114">
        <v>18</v>
      </c>
      <c r="J114">
        <v>10</v>
      </c>
      <c r="K114">
        <v>14</v>
      </c>
      <c r="L114">
        <v>10</v>
      </c>
      <c r="M114">
        <v>1.25</v>
      </c>
      <c r="N114">
        <v>1</v>
      </c>
      <c r="P114" t="s">
        <v>1247</v>
      </c>
    </row>
    <row r="115" spans="1:16" x14ac:dyDescent="0.25">
      <c r="A115" t="s">
        <v>149</v>
      </c>
      <c r="B115">
        <v>2.5</v>
      </c>
      <c r="C115">
        <v>3.75</v>
      </c>
      <c r="D115">
        <v>3.472</v>
      </c>
      <c r="E115">
        <v>4000</v>
      </c>
      <c r="F115">
        <v>-0.75</v>
      </c>
      <c r="G115">
        <v>0.51</v>
      </c>
      <c r="H115">
        <v>0.48</v>
      </c>
      <c r="I115">
        <v>25</v>
      </c>
      <c r="J115">
        <v>8</v>
      </c>
      <c r="K115">
        <v>18</v>
      </c>
      <c r="L115">
        <v>8</v>
      </c>
      <c r="M115">
        <v>1.5</v>
      </c>
      <c r="N115">
        <v>1</v>
      </c>
      <c r="P115" t="s">
        <v>1248</v>
      </c>
    </row>
    <row r="116" spans="1:16" x14ac:dyDescent="0.25">
      <c r="A116" t="s">
        <v>147</v>
      </c>
      <c r="B116">
        <v>3</v>
      </c>
      <c r="C116">
        <v>4.75</v>
      </c>
      <c r="D116">
        <v>6</v>
      </c>
      <c r="E116">
        <v>12000</v>
      </c>
      <c r="F116">
        <v>-1</v>
      </c>
      <c r="G116">
        <v>0.38</v>
      </c>
      <c r="H116">
        <v>0.38</v>
      </c>
      <c r="I116">
        <v>32</v>
      </c>
      <c r="J116">
        <v>6</v>
      </c>
      <c r="K116">
        <v>16</v>
      </c>
      <c r="L116">
        <v>6</v>
      </c>
      <c r="M116">
        <v>3.5</v>
      </c>
      <c r="N116">
        <v>2</v>
      </c>
      <c r="P116" t="s">
        <v>1249</v>
      </c>
    </row>
    <row r="117" spans="1:16" x14ac:dyDescent="0.25">
      <c r="A117" t="s">
        <v>148</v>
      </c>
      <c r="B117">
        <v>3.5</v>
      </c>
      <c r="C117">
        <v>5.25</v>
      </c>
      <c r="D117">
        <v>5</v>
      </c>
      <c r="E117">
        <v>8000</v>
      </c>
      <c r="F117" s="533">
        <v>-0.75</v>
      </c>
      <c r="G117">
        <v>0.36</v>
      </c>
      <c r="H117">
        <v>0.36</v>
      </c>
      <c r="I117">
        <v>20</v>
      </c>
      <c r="J117">
        <v>5</v>
      </c>
      <c r="K117">
        <v>14</v>
      </c>
      <c r="L117">
        <v>5</v>
      </c>
      <c r="M117">
        <v>3</v>
      </c>
      <c r="N117">
        <v>1</v>
      </c>
      <c r="P117" t="s">
        <v>1250</v>
      </c>
    </row>
    <row r="118" spans="1:16" x14ac:dyDescent="0.25">
      <c r="A118" t="s">
        <v>145</v>
      </c>
      <c r="B118">
        <v>4</v>
      </c>
      <c r="C118">
        <v>6.5</v>
      </c>
      <c r="D118">
        <v>6.29</v>
      </c>
      <c r="E118">
        <v>20000</v>
      </c>
      <c r="F118">
        <v>-1.0349999999999999</v>
      </c>
      <c r="G118">
        <v>0.27</v>
      </c>
      <c r="H118">
        <v>0.26500000000000001</v>
      </c>
      <c r="I118">
        <v>22</v>
      </c>
      <c r="J118">
        <v>4</v>
      </c>
      <c r="K118">
        <v>14</v>
      </c>
      <c r="L118">
        <v>4</v>
      </c>
      <c r="M118">
        <v>3.5</v>
      </c>
      <c r="N118">
        <v>2</v>
      </c>
      <c r="P118" t="s">
        <v>1252</v>
      </c>
    </row>
    <row r="119" spans="1:16" x14ac:dyDescent="0.25">
      <c r="A119" t="s">
        <v>146</v>
      </c>
      <c r="B119">
        <v>4</v>
      </c>
      <c r="C119">
        <v>6.5</v>
      </c>
      <c r="D119">
        <v>6.2857000000000003</v>
      </c>
      <c r="E119">
        <v>12000</v>
      </c>
      <c r="F119">
        <v>0.75</v>
      </c>
      <c r="G119">
        <v>0.18</v>
      </c>
      <c r="H119">
        <v>0.18</v>
      </c>
      <c r="I119">
        <v>22</v>
      </c>
      <c r="J119">
        <v>4</v>
      </c>
      <c r="K119">
        <v>14</v>
      </c>
      <c r="L119">
        <v>4</v>
      </c>
      <c r="M119">
        <v>3.5</v>
      </c>
      <c r="N119">
        <v>2</v>
      </c>
      <c r="P119" t="s">
        <v>1251</v>
      </c>
    </row>
    <row r="120" spans="1:16" x14ac:dyDescent="0.25">
      <c r="A120" t="s">
        <v>143</v>
      </c>
      <c r="B120">
        <v>5</v>
      </c>
      <c r="C120">
        <v>9.5519999999999996</v>
      </c>
      <c r="D120">
        <v>6.6669999999999998</v>
      </c>
      <c r="E120">
        <v>40000</v>
      </c>
      <c r="F120">
        <v>-1.0629999999999999</v>
      </c>
      <c r="G120">
        <v>0.18</v>
      </c>
      <c r="H120">
        <v>0.18</v>
      </c>
      <c r="I120">
        <v>24</v>
      </c>
      <c r="J120">
        <v>4</v>
      </c>
      <c r="K120">
        <v>18</v>
      </c>
      <c r="L120">
        <v>4</v>
      </c>
      <c r="M120">
        <v>4</v>
      </c>
      <c r="N120">
        <v>2</v>
      </c>
      <c r="P120" t="s">
        <v>1252</v>
      </c>
    </row>
    <row r="121" spans="1:16" x14ac:dyDescent="0.25">
      <c r="A121" t="s">
        <v>142</v>
      </c>
      <c r="B121">
        <v>5</v>
      </c>
      <c r="C121">
        <v>9</v>
      </c>
      <c r="D121">
        <v>6.6669999999999998</v>
      </c>
      <c r="E121">
        <v>60000</v>
      </c>
      <c r="F121">
        <v>-1.25</v>
      </c>
      <c r="G121">
        <v>0.18</v>
      </c>
      <c r="H121">
        <v>0.18</v>
      </c>
      <c r="I121">
        <v>24</v>
      </c>
      <c r="J121">
        <v>4</v>
      </c>
      <c r="K121">
        <v>18</v>
      </c>
      <c r="L121">
        <v>4</v>
      </c>
      <c r="M121">
        <v>4</v>
      </c>
      <c r="N121">
        <v>2</v>
      </c>
      <c r="P121" t="s">
        <v>1252</v>
      </c>
    </row>
    <row r="122" spans="1:16" x14ac:dyDescent="0.25">
      <c r="A122" t="s">
        <v>141</v>
      </c>
      <c r="B122">
        <v>3</v>
      </c>
      <c r="C122">
        <v>5.5</v>
      </c>
      <c r="E122">
        <v>30000</v>
      </c>
      <c r="F122">
        <v>-0.73399999999999999</v>
      </c>
      <c r="G122">
        <v>0.38</v>
      </c>
      <c r="H122">
        <v>0.38</v>
      </c>
      <c r="I122" s="533"/>
      <c r="J122" s="533"/>
      <c r="K122" s="533"/>
      <c r="L122" s="533"/>
      <c r="M122" s="533"/>
      <c r="N122">
        <v>2</v>
      </c>
      <c r="P122" t="s">
        <v>1254</v>
      </c>
    </row>
    <row r="123" spans="1:16" x14ac:dyDescent="0.25">
      <c r="A123" t="s">
        <v>140</v>
      </c>
      <c r="B123">
        <v>5.61</v>
      </c>
      <c r="C123">
        <v>8</v>
      </c>
      <c r="D123">
        <v>7.8559999999999999</v>
      </c>
      <c r="E123">
        <v>40000</v>
      </c>
      <c r="F123">
        <v>-0.625</v>
      </c>
      <c r="G123" s="533"/>
      <c r="H123" s="533"/>
      <c r="I123">
        <v>28</v>
      </c>
      <c r="J123">
        <v>4</v>
      </c>
      <c r="K123">
        <v>20</v>
      </c>
      <c r="L123">
        <v>4</v>
      </c>
      <c r="M123">
        <v>3.5</v>
      </c>
      <c r="N123">
        <v>2</v>
      </c>
      <c r="P123" t="s">
        <v>1255</v>
      </c>
    </row>
    <row r="124" spans="1:16" x14ac:dyDescent="0.25">
      <c r="A124" t="s">
        <v>139</v>
      </c>
      <c r="B124">
        <v>7.87</v>
      </c>
      <c r="C124">
        <v>11</v>
      </c>
      <c r="D124">
        <v>9.9079999999999995</v>
      </c>
      <c r="E124">
        <v>100000</v>
      </c>
      <c r="F124">
        <v>-0.625</v>
      </c>
      <c r="G124" s="533"/>
      <c r="H124" s="533"/>
      <c r="I124">
        <v>34</v>
      </c>
      <c r="J124">
        <v>4</v>
      </c>
      <c r="K124">
        <v>27</v>
      </c>
      <c r="L124">
        <v>4</v>
      </c>
      <c r="M124">
        <v>5</v>
      </c>
      <c r="N124">
        <v>2</v>
      </c>
      <c r="P124" t="s">
        <v>1253</v>
      </c>
    </row>
    <row r="128" spans="1:16" x14ac:dyDescent="0.25">
      <c r="A128" s="47" t="s">
        <v>973</v>
      </c>
      <c r="C128" s="47" t="s">
        <v>1094</v>
      </c>
      <c r="F128" s="47" t="s">
        <v>1098</v>
      </c>
    </row>
    <row r="129" spans="1:7" x14ac:dyDescent="0.25">
      <c r="A129">
        <v>7</v>
      </c>
      <c r="C129" t="s">
        <v>1096</v>
      </c>
      <c r="D129">
        <v>11</v>
      </c>
      <c r="F129" t="s">
        <v>1056</v>
      </c>
    </row>
    <row r="130" spans="1:7" x14ac:dyDescent="0.25">
      <c r="A130">
        <v>9</v>
      </c>
      <c r="C130" t="s">
        <v>1056</v>
      </c>
      <c r="D130">
        <v>7</v>
      </c>
      <c r="F130" t="s">
        <v>1095</v>
      </c>
    </row>
    <row r="131" spans="1:7" x14ac:dyDescent="0.25">
      <c r="A131">
        <v>11</v>
      </c>
      <c r="C131" t="s">
        <v>1095</v>
      </c>
      <c r="D131">
        <v>9</v>
      </c>
      <c r="F131" t="s">
        <v>1096</v>
      </c>
    </row>
    <row r="133" spans="1:7" x14ac:dyDescent="0.25">
      <c r="A133" s="47" t="s">
        <v>1003</v>
      </c>
    </row>
    <row r="134" spans="1:7" x14ac:dyDescent="0.25">
      <c r="A134">
        <v>5</v>
      </c>
    </row>
    <row r="135" spans="1:7" x14ac:dyDescent="0.25">
      <c r="A135">
        <v>7</v>
      </c>
    </row>
    <row r="139" spans="1:7" x14ac:dyDescent="0.25">
      <c r="A139" s="47" t="s">
        <v>974</v>
      </c>
      <c r="B139" s="47" t="s">
        <v>990</v>
      </c>
      <c r="C139" s="47" t="s">
        <v>1004</v>
      </c>
    </row>
    <row r="140" spans="1:7" x14ac:dyDescent="0.25">
      <c r="A140" t="s">
        <v>51</v>
      </c>
      <c r="B140" t="s">
        <v>445</v>
      </c>
      <c r="C140" t="s">
        <v>1005</v>
      </c>
    </row>
    <row r="141" spans="1:7" x14ac:dyDescent="0.25">
      <c r="A141" t="s">
        <v>52</v>
      </c>
      <c r="B141" t="s">
        <v>516</v>
      </c>
      <c r="C141" t="s">
        <v>1006</v>
      </c>
    </row>
    <row r="143" spans="1:7" x14ac:dyDescent="0.25">
      <c r="A143">
        <v>1</v>
      </c>
      <c r="B143">
        <v>2</v>
      </c>
      <c r="C143">
        <v>3</v>
      </c>
      <c r="D143">
        <v>4</v>
      </c>
      <c r="E143">
        <v>5</v>
      </c>
      <c r="F143">
        <v>6</v>
      </c>
      <c r="G143">
        <v>7</v>
      </c>
    </row>
    <row r="144" spans="1:7" x14ac:dyDescent="0.25">
      <c r="A144" t="s">
        <v>160</v>
      </c>
      <c r="B144" t="s">
        <v>159</v>
      </c>
      <c r="C144" t="s">
        <v>158</v>
      </c>
      <c r="D144" t="s">
        <v>156</v>
      </c>
      <c r="E144" t="s">
        <v>155</v>
      </c>
      <c r="F144" t="s">
        <v>154</v>
      </c>
      <c r="G144" t="s">
        <v>153</v>
      </c>
    </row>
    <row r="145" spans="1:19" x14ac:dyDescent="0.25">
      <c r="A145" t="s">
        <v>317</v>
      </c>
      <c r="B145">
        <v>2.5</v>
      </c>
      <c r="C145">
        <v>3.75</v>
      </c>
      <c r="D145">
        <v>4000</v>
      </c>
      <c r="E145">
        <v>-0.75</v>
      </c>
      <c r="F145">
        <v>0.51</v>
      </c>
      <c r="G145">
        <v>0.48</v>
      </c>
    </row>
    <row r="146" spans="1:19" x14ac:dyDescent="0.25">
      <c r="A146" t="s">
        <v>316</v>
      </c>
      <c r="B146">
        <v>3</v>
      </c>
      <c r="C146">
        <v>4.75</v>
      </c>
      <c r="D146">
        <v>12000</v>
      </c>
      <c r="E146">
        <v>-1</v>
      </c>
      <c r="F146">
        <v>0.38</v>
      </c>
      <c r="G146">
        <v>0.38</v>
      </c>
    </row>
    <row r="147" spans="1:19" x14ac:dyDescent="0.25">
      <c r="A147" t="s">
        <v>315</v>
      </c>
      <c r="B147">
        <v>3.5</v>
      </c>
      <c r="C147">
        <v>5.25</v>
      </c>
      <c r="D147">
        <v>8000</v>
      </c>
      <c r="E147" s="533">
        <v>-0.98</v>
      </c>
      <c r="F147">
        <v>0.36</v>
      </c>
      <c r="G147">
        <v>0.36</v>
      </c>
      <c r="I147">
        <v>-0.98</v>
      </c>
    </row>
    <row r="148" spans="1:19" x14ac:dyDescent="0.25">
      <c r="A148" t="s">
        <v>314</v>
      </c>
      <c r="B148">
        <v>4</v>
      </c>
      <c r="C148">
        <v>6.5</v>
      </c>
      <c r="D148">
        <v>20000</v>
      </c>
      <c r="E148">
        <v>-1.0349999999999999</v>
      </c>
      <c r="F148">
        <v>0.27</v>
      </c>
      <c r="G148">
        <v>0.26500000000000001</v>
      </c>
    </row>
    <row r="149" spans="1:19" x14ac:dyDescent="0.25">
      <c r="A149" t="s">
        <v>313</v>
      </c>
      <c r="B149">
        <v>5</v>
      </c>
      <c r="C149">
        <v>9</v>
      </c>
      <c r="D149">
        <v>60000</v>
      </c>
      <c r="E149">
        <v>-1.25</v>
      </c>
      <c r="F149">
        <v>0.18</v>
      </c>
      <c r="G149">
        <v>0.18</v>
      </c>
    </row>
    <row r="150" spans="1:19" x14ac:dyDescent="0.25">
      <c r="A150" t="s">
        <v>310</v>
      </c>
      <c r="B150">
        <v>7.87</v>
      </c>
      <c r="C150">
        <v>11</v>
      </c>
      <c r="D150">
        <v>100000</v>
      </c>
      <c r="E150">
        <v>-0.625</v>
      </c>
      <c r="F150">
        <v>0.18</v>
      </c>
      <c r="G150">
        <v>0.18</v>
      </c>
    </row>
    <row r="152" spans="1:19" x14ac:dyDescent="0.25">
      <c r="A152" t="s">
        <v>318</v>
      </c>
      <c r="B152">
        <v>1.75</v>
      </c>
      <c r="C152">
        <v>2.5</v>
      </c>
      <c r="D152">
        <v>1780</v>
      </c>
      <c r="E152">
        <v>-0.38</v>
      </c>
      <c r="F152">
        <v>0.79400000000000004</v>
      </c>
      <c r="G152">
        <v>0.75</v>
      </c>
    </row>
    <row r="153" spans="1:19" x14ac:dyDescent="0.25">
      <c r="A153" t="s">
        <v>312</v>
      </c>
      <c r="B153">
        <v>3</v>
      </c>
      <c r="C153">
        <v>5.5</v>
      </c>
      <c r="D153">
        <v>30000</v>
      </c>
      <c r="E153">
        <v>-0.73399999999999999</v>
      </c>
      <c r="F153">
        <v>0.38</v>
      </c>
      <c r="G153">
        <v>0.38</v>
      </c>
    </row>
    <row r="154" spans="1:19" x14ac:dyDescent="0.25">
      <c r="A154" t="s">
        <v>311</v>
      </c>
      <c r="B154">
        <v>5.61</v>
      </c>
      <c r="C154">
        <v>8</v>
      </c>
      <c r="D154">
        <v>40000</v>
      </c>
      <c r="E154">
        <v>-0.625</v>
      </c>
    </row>
    <row r="157" spans="1:19" x14ac:dyDescent="0.25">
      <c r="A157">
        <v>1</v>
      </c>
      <c r="B157" s="2">
        <v>2</v>
      </c>
      <c r="C157">
        <v>3</v>
      </c>
      <c r="D157" s="2">
        <v>4</v>
      </c>
      <c r="E157">
        <v>5</v>
      </c>
      <c r="F157" s="2">
        <v>6</v>
      </c>
      <c r="G157">
        <v>7</v>
      </c>
      <c r="H157" s="2">
        <v>8</v>
      </c>
      <c r="I157">
        <v>9</v>
      </c>
      <c r="J157" s="2">
        <v>10</v>
      </c>
      <c r="K157">
        <v>11</v>
      </c>
      <c r="L157" s="2">
        <v>12</v>
      </c>
      <c r="M157">
        <v>13</v>
      </c>
      <c r="N157" s="2">
        <v>14</v>
      </c>
      <c r="O157">
        <v>15</v>
      </c>
      <c r="P157" s="2">
        <v>16</v>
      </c>
      <c r="Q157">
        <v>17</v>
      </c>
      <c r="R157" s="2">
        <v>18</v>
      </c>
      <c r="S157">
        <v>19</v>
      </c>
    </row>
    <row r="158" spans="1:19" x14ac:dyDescent="0.25">
      <c r="A158" s="47" t="s">
        <v>975</v>
      </c>
      <c r="L158" t="s">
        <v>479</v>
      </c>
    </row>
    <row r="159" spans="1:19" x14ac:dyDescent="0.25">
      <c r="A159" t="s">
        <v>160</v>
      </c>
      <c r="B159" t="s">
        <v>224</v>
      </c>
      <c r="C159" t="s">
        <v>480</v>
      </c>
      <c r="D159" t="s">
        <v>481</v>
      </c>
      <c r="E159" t="s">
        <v>482</v>
      </c>
      <c r="F159" t="s">
        <v>483</v>
      </c>
      <c r="G159" t="s">
        <v>484</v>
      </c>
      <c r="H159" t="s">
        <v>472</v>
      </c>
      <c r="I159" s="201" t="s">
        <v>485</v>
      </c>
      <c r="J159" t="s">
        <v>486</v>
      </c>
      <c r="K159" t="s">
        <v>487</v>
      </c>
      <c r="L159" t="s">
        <v>488</v>
      </c>
      <c r="M159" t="s">
        <v>489</v>
      </c>
      <c r="N159" t="s">
        <v>441</v>
      </c>
      <c r="O159" t="s">
        <v>443</v>
      </c>
      <c r="Q159" t="s">
        <v>490</v>
      </c>
      <c r="R159" t="s">
        <v>491</v>
      </c>
      <c r="S159" t="s">
        <v>978</v>
      </c>
    </row>
    <row r="160" spans="1:19" ht="15.75" x14ac:dyDescent="0.25">
      <c r="A160" t="s">
        <v>492</v>
      </c>
      <c r="B160" s="4">
        <v>3</v>
      </c>
      <c r="C160">
        <v>2000</v>
      </c>
      <c r="D160" s="40">
        <v>2.1979999999999999E-3</v>
      </c>
      <c r="E160">
        <v>160</v>
      </c>
      <c r="F160">
        <v>56.3</v>
      </c>
      <c r="G160" s="201">
        <v>20</v>
      </c>
      <c r="H160" s="236">
        <v>3.5000000000000003E-2</v>
      </c>
      <c r="I160" s="237">
        <v>1</v>
      </c>
      <c r="J160" s="609" t="s">
        <v>1057</v>
      </c>
      <c r="K160" s="201">
        <v>0</v>
      </c>
      <c r="L160" s="236">
        <v>2.25</v>
      </c>
      <c r="M160" s="236">
        <v>2.25</v>
      </c>
      <c r="N160" s="544" t="s">
        <v>493</v>
      </c>
      <c r="O160" s="544" t="s">
        <v>494</v>
      </c>
      <c r="Q160" s="239">
        <v>45</v>
      </c>
      <c r="R160" s="239">
        <v>100</v>
      </c>
      <c r="S160">
        <v>0</v>
      </c>
    </row>
    <row r="161" spans="1:19" ht="15.75" x14ac:dyDescent="0.25">
      <c r="A161" t="s">
        <v>495</v>
      </c>
      <c r="B161" s="4">
        <v>3.7330000000000001</v>
      </c>
      <c r="C161">
        <v>2000</v>
      </c>
      <c r="D161" s="40">
        <v>2.1979999999999999E-3</v>
      </c>
      <c r="E161">
        <v>160</v>
      </c>
      <c r="F161">
        <v>56.3</v>
      </c>
      <c r="G161" s="201">
        <v>20</v>
      </c>
      <c r="H161" s="236">
        <v>3.5000000000000003E-2</v>
      </c>
      <c r="I161" s="237">
        <v>1</v>
      </c>
      <c r="J161" s="609" t="s">
        <v>1058</v>
      </c>
      <c r="K161" s="201">
        <v>0</v>
      </c>
      <c r="L161" s="236">
        <v>2.25</v>
      </c>
      <c r="M161" s="236">
        <v>2.25</v>
      </c>
      <c r="N161" s="544" t="s">
        <v>493</v>
      </c>
      <c r="O161" s="544" t="s">
        <v>494</v>
      </c>
      <c r="Q161" s="239">
        <v>45</v>
      </c>
      <c r="R161" s="239">
        <v>100</v>
      </c>
      <c r="S161">
        <v>0</v>
      </c>
    </row>
    <row r="162" spans="1:19" ht="15.75" x14ac:dyDescent="0.25">
      <c r="A162" t="s">
        <v>496</v>
      </c>
      <c r="B162" s="4">
        <v>2.3683999999999998</v>
      </c>
      <c r="C162">
        <v>2000</v>
      </c>
      <c r="D162" s="40">
        <v>6.2290000000000002E-3</v>
      </c>
      <c r="E162">
        <v>240</v>
      </c>
      <c r="F162">
        <v>87</v>
      </c>
      <c r="G162" s="201">
        <v>20</v>
      </c>
      <c r="H162" s="236">
        <v>3.5000000000000003E-2</v>
      </c>
      <c r="I162" s="237">
        <v>1</v>
      </c>
      <c r="J162" s="609" t="s">
        <v>1059</v>
      </c>
      <c r="K162" s="201">
        <v>0</v>
      </c>
      <c r="L162" s="236">
        <v>2.625</v>
      </c>
      <c r="M162" s="236">
        <v>2.625</v>
      </c>
      <c r="N162" s="544" t="s">
        <v>497</v>
      </c>
      <c r="O162" s="544" t="s">
        <v>498</v>
      </c>
      <c r="Q162" s="239">
        <v>45</v>
      </c>
      <c r="R162" s="239">
        <v>100</v>
      </c>
      <c r="S162">
        <v>0</v>
      </c>
    </row>
    <row r="163" spans="1:19" ht="15.75" x14ac:dyDescent="0.25">
      <c r="A163" t="s">
        <v>499</v>
      </c>
      <c r="B163" s="4">
        <v>2.9474</v>
      </c>
      <c r="C163">
        <v>2000</v>
      </c>
      <c r="D163" s="40">
        <v>6.2290000000000002E-3</v>
      </c>
      <c r="E163">
        <v>240</v>
      </c>
      <c r="F163">
        <v>87</v>
      </c>
      <c r="G163" s="201">
        <v>20</v>
      </c>
      <c r="H163" s="236">
        <v>3.5000000000000003E-2</v>
      </c>
      <c r="I163" s="237">
        <v>1</v>
      </c>
      <c r="J163" s="609" t="s">
        <v>1060</v>
      </c>
      <c r="K163" s="201">
        <v>0</v>
      </c>
      <c r="L163" s="236">
        <v>2.625</v>
      </c>
      <c r="M163" s="236">
        <v>2.625</v>
      </c>
      <c r="N163" s="544" t="s">
        <v>497</v>
      </c>
      <c r="O163" s="544" t="s">
        <v>498</v>
      </c>
      <c r="Q163" s="239">
        <v>45</v>
      </c>
      <c r="R163" s="239">
        <v>100</v>
      </c>
      <c r="S163">
        <v>0</v>
      </c>
    </row>
    <row r="164" spans="1:19" ht="15.75" x14ac:dyDescent="0.25">
      <c r="A164" t="s">
        <v>500</v>
      </c>
      <c r="B164" s="4">
        <v>3.214</v>
      </c>
      <c r="C164">
        <v>1500</v>
      </c>
      <c r="D164" s="40">
        <v>6.0067000000000002E-2</v>
      </c>
      <c r="E164">
        <v>630</v>
      </c>
      <c r="F164">
        <v>248</v>
      </c>
      <c r="G164" s="201">
        <v>20</v>
      </c>
      <c r="H164" s="236">
        <v>3.5000000000000003E-2</v>
      </c>
      <c r="I164" s="237">
        <v>1</v>
      </c>
      <c r="J164" s="609" t="s">
        <v>1061</v>
      </c>
      <c r="K164" s="201">
        <v>0</v>
      </c>
      <c r="L164" s="236">
        <v>3</v>
      </c>
      <c r="M164" s="236">
        <v>3</v>
      </c>
      <c r="N164" s="544" t="s">
        <v>501</v>
      </c>
      <c r="O164" s="544" t="s">
        <v>502</v>
      </c>
      <c r="Q164" s="239">
        <v>50</v>
      </c>
      <c r="R164" s="239">
        <v>200</v>
      </c>
      <c r="S164">
        <v>0</v>
      </c>
    </row>
    <row r="165" spans="1:19" ht="15.75" x14ac:dyDescent="0.25">
      <c r="A165" t="s">
        <v>503</v>
      </c>
      <c r="B165" s="4">
        <v>4</v>
      </c>
      <c r="C165">
        <v>1500</v>
      </c>
      <c r="D165" s="40">
        <v>6.0067000000000002E-2</v>
      </c>
      <c r="E165">
        <v>630</v>
      </c>
      <c r="F165">
        <v>248</v>
      </c>
      <c r="G165" s="201">
        <v>20</v>
      </c>
      <c r="H165" s="236">
        <v>3.5000000000000003E-2</v>
      </c>
      <c r="I165" s="237">
        <v>1</v>
      </c>
      <c r="J165" s="609" t="s">
        <v>1062</v>
      </c>
      <c r="K165" s="201">
        <v>0</v>
      </c>
      <c r="L165" s="236">
        <v>3</v>
      </c>
      <c r="M165" s="236">
        <v>3</v>
      </c>
      <c r="N165" s="544" t="s">
        <v>501</v>
      </c>
      <c r="O165" s="544" t="s">
        <v>502</v>
      </c>
      <c r="Q165" s="239">
        <v>50</v>
      </c>
      <c r="R165" s="239">
        <v>200</v>
      </c>
      <c r="S165">
        <v>0</v>
      </c>
    </row>
    <row r="166" spans="1:19" ht="15.75" x14ac:dyDescent="0.25">
      <c r="A166" t="s">
        <v>504</v>
      </c>
      <c r="B166" s="4">
        <v>2.6469999999999998</v>
      </c>
      <c r="C166">
        <v>1000</v>
      </c>
      <c r="D166" s="40">
        <v>0.111236</v>
      </c>
      <c r="E166">
        <v>1200</v>
      </c>
      <c r="F166">
        <v>462</v>
      </c>
      <c r="G166" s="201">
        <v>20</v>
      </c>
      <c r="H166" s="236">
        <v>3.5000000000000003E-2</v>
      </c>
      <c r="I166" s="237">
        <v>1</v>
      </c>
      <c r="J166" s="609" t="s">
        <v>1063</v>
      </c>
      <c r="K166" s="201">
        <v>0</v>
      </c>
      <c r="L166" s="236">
        <v>4</v>
      </c>
      <c r="M166" s="236">
        <v>4</v>
      </c>
      <c r="N166" s="544" t="s">
        <v>505</v>
      </c>
      <c r="O166" s="544" t="s">
        <v>506</v>
      </c>
      <c r="Q166" s="239">
        <v>80</v>
      </c>
      <c r="R166" s="239">
        <v>250</v>
      </c>
      <c r="S166">
        <v>0</v>
      </c>
    </row>
    <row r="167" spans="1:19" ht="15.75" x14ac:dyDescent="0.25">
      <c r="A167" t="s">
        <v>440</v>
      </c>
      <c r="B167" s="4">
        <v>3.294</v>
      </c>
      <c r="C167">
        <v>1000</v>
      </c>
      <c r="D167" s="40">
        <v>0.111236</v>
      </c>
      <c r="E167">
        <v>1211</v>
      </c>
      <c r="F167">
        <v>462</v>
      </c>
      <c r="G167" s="201">
        <v>20</v>
      </c>
      <c r="H167" s="236">
        <v>3.5000000000000003E-2</v>
      </c>
      <c r="I167" s="237">
        <v>1</v>
      </c>
      <c r="J167" s="609" t="s">
        <v>1064</v>
      </c>
      <c r="K167" s="201">
        <v>0</v>
      </c>
      <c r="L167" s="236">
        <v>4</v>
      </c>
      <c r="M167" s="236">
        <v>4</v>
      </c>
      <c r="N167" s="544" t="s">
        <v>505</v>
      </c>
      <c r="O167" s="544" t="s">
        <v>506</v>
      </c>
      <c r="Q167" s="239">
        <v>80</v>
      </c>
      <c r="R167" s="239">
        <v>250</v>
      </c>
      <c r="S167">
        <v>0</v>
      </c>
    </row>
    <row r="168" spans="1:19" ht="15.75" x14ac:dyDescent="0.25">
      <c r="A168" t="s">
        <v>507</v>
      </c>
      <c r="B168" s="4">
        <v>4.8</v>
      </c>
      <c r="C168">
        <v>1500</v>
      </c>
      <c r="D168" s="40">
        <v>0.21535233000000001</v>
      </c>
      <c r="E168">
        <v>1406</v>
      </c>
      <c r="F168">
        <v>620</v>
      </c>
      <c r="G168" s="201">
        <v>20</v>
      </c>
      <c r="H168" s="236">
        <v>3.5000000000000003E-2</v>
      </c>
      <c r="I168" s="237">
        <v>1</v>
      </c>
      <c r="J168" s="609" t="s">
        <v>1065</v>
      </c>
      <c r="K168" s="201">
        <v>0</v>
      </c>
      <c r="L168" s="236">
        <v>5</v>
      </c>
      <c r="M168" s="236">
        <v>5</v>
      </c>
      <c r="N168" s="544" t="s">
        <v>508</v>
      </c>
      <c r="O168" s="544" t="s">
        <v>509</v>
      </c>
      <c r="Q168" s="239">
        <v>235</v>
      </c>
      <c r="R168" s="239">
        <v>250</v>
      </c>
      <c r="S168">
        <v>9.8000000000000007</v>
      </c>
    </row>
    <row r="169" spans="1:19" ht="15.75" x14ac:dyDescent="0.25">
      <c r="A169" t="s">
        <v>510</v>
      </c>
      <c r="B169" s="4">
        <v>6.94</v>
      </c>
      <c r="C169">
        <v>1500</v>
      </c>
      <c r="D169" s="40">
        <v>0.21535233000000001</v>
      </c>
      <c r="E169">
        <v>1406</v>
      </c>
      <c r="F169">
        <v>620</v>
      </c>
      <c r="G169" s="201">
        <v>50</v>
      </c>
      <c r="H169" s="236">
        <v>3.5000000000000003E-2</v>
      </c>
      <c r="I169" s="237">
        <v>0.97</v>
      </c>
      <c r="J169" s="609" t="s">
        <v>1066</v>
      </c>
      <c r="K169" s="201">
        <v>5</v>
      </c>
      <c r="L169" s="236">
        <v>6</v>
      </c>
      <c r="M169" s="236">
        <v>6</v>
      </c>
      <c r="N169" s="544" t="s">
        <v>508</v>
      </c>
      <c r="O169" s="544" t="s">
        <v>509</v>
      </c>
      <c r="Q169" s="239">
        <v>235</v>
      </c>
      <c r="R169" s="239">
        <v>250</v>
      </c>
      <c r="S169">
        <v>9.8000000000000007</v>
      </c>
    </row>
    <row r="170" spans="1:19" ht="15.75" x14ac:dyDescent="0.25">
      <c r="A170" t="s">
        <v>511</v>
      </c>
      <c r="B170" s="4">
        <v>8.33</v>
      </c>
      <c r="C170">
        <v>1500</v>
      </c>
      <c r="D170" s="40">
        <v>0.26963530000000002</v>
      </c>
      <c r="E170">
        <v>1800</v>
      </c>
      <c r="F170">
        <v>797</v>
      </c>
      <c r="G170" s="201">
        <v>50</v>
      </c>
      <c r="H170" s="236">
        <v>5.5E-2</v>
      </c>
      <c r="I170" s="237">
        <v>0.97</v>
      </c>
      <c r="J170" s="609" t="s">
        <v>1067</v>
      </c>
      <c r="K170" s="201">
        <v>5</v>
      </c>
      <c r="L170" s="236">
        <v>7</v>
      </c>
      <c r="M170" s="236">
        <v>7</v>
      </c>
      <c r="N170" s="544" t="s">
        <v>512</v>
      </c>
      <c r="O170" s="544" t="s">
        <v>513</v>
      </c>
      <c r="Q170" s="239">
        <v>235</v>
      </c>
      <c r="R170" s="239">
        <v>260</v>
      </c>
      <c r="S170">
        <v>11.4</v>
      </c>
    </row>
    <row r="171" spans="1:19" ht="15.75" x14ac:dyDescent="0.25">
      <c r="A171" t="s">
        <v>514</v>
      </c>
      <c r="B171" s="4">
        <v>11.111000000000001</v>
      </c>
      <c r="C171">
        <v>1500</v>
      </c>
      <c r="D171" s="40">
        <v>0.26963535999999999</v>
      </c>
      <c r="E171">
        <v>1800</v>
      </c>
      <c r="F171">
        <v>797</v>
      </c>
      <c r="G171" s="201">
        <v>50</v>
      </c>
      <c r="H171" s="236">
        <v>3.5000000000000003E-2</v>
      </c>
      <c r="I171" s="237">
        <v>0.97</v>
      </c>
      <c r="J171" s="609" t="s">
        <v>1068</v>
      </c>
      <c r="K171" s="201">
        <v>5</v>
      </c>
      <c r="L171" s="236">
        <v>8</v>
      </c>
      <c r="M171" s="236">
        <v>8</v>
      </c>
      <c r="N171" s="544" t="s">
        <v>512</v>
      </c>
      <c r="O171" s="544" t="s">
        <v>513</v>
      </c>
      <c r="Q171" s="239">
        <v>235</v>
      </c>
      <c r="R171" s="239">
        <v>260</v>
      </c>
      <c r="S171">
        <v>11.4</v>
      </c>
    </row>
    <row r="175" spans="1:19" x14ac:dyDescent="0.25">
      <c r="A175">
        <v>1</v>
      </c>
      <c r="B175" s="2">
        <f>A175+1</f>
        <v>2</v>
      </c>
      <c r="C175" s="2">
        <f t="shared" ref="C175:O175" si="0">B175+1</f>
        <v>3</v>
      </c>
      <c r="D175" s="2">
        <f t="shared" si="0"/>
        <v>4</v>
      </c>
      <c r="E175" s="2">
        <f t="shared" si="0"/>
        <v>5</v>
      </c>
      <c r="F175" s="2">
        <f t="shared" si="0"/>
        <v>6</v>
      </c>
      <c r="G175" s="2">
        <f t="shared" si="0"/>
        <v>7</v>
      </c>
      <c r="H175" s="2">
        <f t="shared" si="0"/>
        <v>8</v>
      </c>
      <c r="I175" s="2">
        <f t="shared" si="0"/>
        <v>9</v>
      </c>
      <c r="J175" s="2">
        <f t="shared" si="0"/>
        <v>10</v>
      </c>
      <c r="K175" s="2">
        <f t="shared" si="0"/>
        <v>11</v>
      </c>
      <c r="L175" s="2">
        <f t="shared" si="0"/>
        <v>12</v>
      </c>
      <c r="M175" s="2">
        <f t="shared" si="0"/>
        <v>13</v>
      </c>
      <c r="N175" s="2">
        <f t="shared" si="0"/>
        <v>14</v>
      </c>
      <c r="O175" s="2">
        <f t="shared" si="0"/>
        <v>15</v>
      </c>
      <c r="P175" s="2">
        <f>O175+1</f>
        <v>16</v>
      </c>
      <c r="Q175" s="2">
        <f>P175+1</f>
        <v>17</v>
      </c>
      <c r="R175" s="2">
        <f>Q175+1</f>
        <v>18</v>
      </c>
    </row>
    <row r="176" spans="1:19" x14ac:dyDescent="0.25">
      <c r="A176" s="47" t="s">
        <v>976</v>
      </c>
      <c r="L176" t="s">
        <v>479</v>
      </c>
    </row>
    <row r="177" spans="1:18" x14ac:dyDescent="0.25">
      <c r="A177" t="s">
        <v>160</v>
      </c>
      <c r="B177" t="s">
        <v>224</v>
      </c>
      <c r="C177" t="s">
        <v>646</v>
      </c>
      <c r="D177" t="s">
        <v>481</v>
      </c>
      <c r="E177" t="s">
        <v>482</v>
      </c>
      <c r="F177" t="s">
        <v>483</v>
      </c>
      <c r="G177" t="s">
        <v>484</v>
      </c>
      <c r="H177" t="s">
        <v>472</v>
      </c>
      <c r="I177" s="201" t="s">
        <v>485</v>
      </c>
      <c r="J177" t="s">
        <v>486</v>
      </c>
      <c r="K177" t="s">
        <v>487</v>
      </c>
      <c r="L177" t="s">
        <v>488</v>
      </c>
      <c r="M177" t="s">
        <v>489</v>
      </c>
      <c r="N177" t="s">
        <v>441</v>
      </c>
      <c r="O177" t="s">
        <v>443</v>
      </c>
      <c r="P177" t="s">
        <v>640</v>
      </c>
      <c r="Q177" t="s">
        <v>490</v>
      </c>
      <c r="R177" t="s">
        <v>491</v>
      </c>
    </row>
    <row r="178" spans="1:18" ht="15.75" x14ac:dyDescent="0.25">
      <c r="A178" t="s">
        <v>647</v>
      </c>
      <c r="B178" s="4">
        <v>3</v>
      </c>
      <c r="C178" s="23">
        <v>2000</v>
      </c>
      <c r="D178" s="433">
        <v>2.8300000000000001E-3</v>
      </c>
      <c r="E178" s="23">
        <v>169</v>
      </c>
      <c r="F178" s="23">
        <v>56.4</v>
      </c>
      <c r="G178" s="432">
        <v>20</v>
      </c>
      <c r="H178" s="431">
        <v>3.5000000000000003E-2</v>
      </c>
      <c r="I178" s="434">
        <v>1</v>
      </c>
      <c r="J178" s="537">
        <v>1.5227820060074665E-2</v>
      </c>
      <c r="K178" s="432">
        <v>0</v>
      </c>
      <c r="L178" s="431">
        <v>2.25</v>
      </c>
      <c r="M178" s="431">
        <v>2.25</v>
      </c>
      <c r="N178" s="241" t="s">
        <v>493</v>
      </c>
      <c r="O178" s="241" t="s">
        <v>494</v>
      </c>
      <c r="P178" s="430">
        <v>4.5</v>
      </c>
      <c r="Q178" s="538"/>
      <c r="R178" s="539"/>
    </row>
    <row r="179" spans="1:18" ht="15.75" x14ac:dyDescent="0.25">
      <c r="A179" t="s">
        <v>1018</v>
      </c>
      <c r="B179" s="4">
        <v>3.7330000000000001</v>
      </c>
      <c r="C179" s="23">
        <v>2000</v>
      </c>
      <c r="D179" s="433">
        <v>2.1979999999999999E-3</v>
      </c>
      <c r="E179" s="23">
        <v>160</v>
      </c>
      <c r="F179" s="23">
        <v>56.3</v>
      </c>
      <c r="G179" s="432">
        <v>20</v>
      </c>
      <c r="H179" s="431">
        <v>3.5000000000000003E-2</v>
      </c>
      <c r="I179" s="434">
        <v>1</v>
      </c>
      <c r="J179" s="537">
        <v>1.7761431998667542E-2</v>
      </c>
      <c r="K179" s="432">
        <v>0</v>
      </c>
      <c r="L179" s="431">
        <v>2.25</v>
      </c>
      <c r="M179" s="431">
        <v>2.25</v>
      </c>
      <c r="N179" s="241" t="s">
        <v>493</v>
      </c>
      <c r="O179" s="241" t="s">
        <v>494</v>
      </c>
      <c r="P179" s="430">
        <v>4.5</v>
      </c>
      <c r="Q179" s="538"/>
      <c r="R179" s="539"/>
    </row>
    <row r="180" spans="1:18" ht="15.75" x14ac:dyDescent="0.25">
      <c r="A180" t="s">
        <v>648</v>
      </c>
      <c r="B180" s="4">
        <v>2.3683999999999998</v>
      </c>
      <c r="C180" s="23">
        <v>2000</v>
      </c>
      <c r="D180" s="433">
        <v>6.2290000000000002E-3</v>
      </c>
      <c r="E180" s="23">
        <v>240</v>
      </c>
      <c r="F180" s="23">
        <v>87</v>
      </c>
      <c r="G180" s="432">
        <v>20</v>
      </c>
      <c r="H180" s="431">
        <v>3.5000000000000003E-2</v>
      </c>
      <c r="I180" s="434">
        <v>1</v>
      </c>
      <c r="J180" s="537">
        <v>2.182950885405684E-2</v>
      </c>
      <c r="K180" s="432">
        <v>0</v>
      </c>
      <c r="L180" s="431">
        <v>2.625</v>
      </c>
      <c r="M180" s="431">
        <v>2.625</v>
      </c>
      <c r="N180" s="241" t="s">
        <v>497</v>
      </c>
      <c r="O180" s="241" t="s">
        <v>498</v>
      </c>
      <c r="P180" s="430">
        <v>4.5</v>
      </c>
      <c r="Q180" s="538"/>
      <c r="R180" s="539"/>
    </row>
    <row r="181" spans="1:18" ht="15.75" x14ac:dyDescent="0.25">
      <c r="A181" t="s">
        <v>1019</v>
      </c>
      <c r="B181" s="4">
        <v>2.9474</v>
      </c>
      <c r="C181" s="23">
        <v>2000</v>
      </c>
      <c r="D181" s="433">
        <v>6.2290000000000002E-3</v>
      </c>
      <c r="E181" s="23">
        <v>240</v>
      </c>
      <c r="F181" s="23">
        <v>87</v>
      </c>
      <c r="G181" s="432">
        <v>20</v>
      </c>
      <c r="H181" s="431">
        <v>3.5000000000000003E-2</v>
      </c>
      <c r="I181" s="434">
        <v>1</v>
      </c>
      <c r="J181" s="537">
        <v>2.4441951312293955E-2</v>
      </c>
      <c r="K181" s="432">
        <v>0</v>
      </c>
      <c r="L181" s="431">
        <v>2.625</v>
      </c>
      <c r="M181" s="431">
        <v>2.625</v>
      </c>
      <c r="N181" s="241" t="s">
        <v>497</v>
      </c>
      <c r="O181" s="241" t="s">
        <v>498</v>
      </c>
      <c r="P181" s="430">
        <v>4.5</v>
      </c>
      <c r="Q181" s="538"/>
      <c r="R181" s="539"/>
    </row>
    <row r="182" spans="1:18" ht="15.75" x14ac:dyDescent="0.25">
      <c r="A182" t="s">
        <v>649</v>
      </c>
      <c r="B182" s="4">
        <v>3.214</v>
      </c>
      <c r="C182" s="23">
        <v>1500</v>
      </c>
      <c r="D182" s="433">
        <v>5.9799999999999999E-2</v>
      </c>
      <c r="E182" s="23">
        <v>630</v>
      </c>
      <c r="F182" s="23">
        <v>252</v>
      </c>
      <c r="G182" s="432">
        <v>20</v>
      </c>
      <c r="H182" s="431">
        <v>3.5000000000000003E-2</v>
      </c>
      <c r="I182" s="434">
        <v>1</v>
      </c>
      <c r="J182" s="537">
        <v>4.3567019798409656E-2</v>
      </c>
      <c r="K182" s="432">
        <v>0</v>
      </c>
      <c r="L182" s="431">
        <v>3</v>
      </c>
      <c r="M182" s="431">
        <v>3</v>
      </c>
      <c r="N182" s="241" t="s">
        <v>501</v>
      </c>
      <c r="O182" s="241" t="s">
        <v>502</v>
      </c>
      <c r="P182" s="430">
        <v>4.5</v>
      </c>
      <c r="Q182" s="430">
        <v>50</v>
      </c>
      <c r="R182" s="239">
        <v>200</v>
      </c>
    </row>
    <row r="183" spans="1:18" ht="15.75" x14ac:dyDescent="0.25">
      <c r="A183" t="s">
        <v>650</v>
      </c>
      <c r="B183" s="4">
        <v>3.214</v>
      </c>
      <c r="C183" s="23">
        <v>1500</v>
      </c>
      <c r="D183" s="433">
        <v>6.0067000000000002E-2</v>
      </c>
      <c r="E183" s="23">
        <v>630</v>
      </c>
      <c r="F183" s="23">
        <v>248</v>
      </c>
      <c r="G183" s="432">
        <v>20</v>
      </c>
      <c r="H183" s="431">
        <v>3.5000000000000003E-2</v>
      </c>
      <c r="I183" s="434">
        <v>1</v>
      </c>
      <c r="J183" s="537">
        <v>4.3567019798409656E-2</v>
      </c>
      <c r="K183" s="432">
        <v>0</v>
      </c>
      <c r="L183" s="431">
        <v>3</v>
      </c>
      <c r="M183" s="431">
        <v>3</v>
      </c>
      <c r="N183" s="241" t="s">
        <v>501</v>
      </c>
      <c r="O183" s="241" t="s">
        <v>502</v>
      </c>
      <c r="P183" s="430">
        <v>6</v>
      </c>
      <c r="Q183" s="430">
        <v>50</v>
      </c>
      <c r="R183" s="239">
        <v>200</v>
      </c>
    </row>
    <row r="184" spans="1:18" ht="15.75" x14ac:dyDescent="0.25">
      <c r="A184" t="s">
        <v>651</v>
      </c>
      <c r="B184" s="4">
        <v>4</v>
      </c>
      <c r="C184" s="23">
        <v>1500</v>
      </c>
      <c r="D184" s="433">
        <v>6.0069999999999998E-2</v>
      </c>
      <c r="E184" s="23">
        <v>630</v>
      </c>
      <c r="F184" s="23">
        <v>248</v>
      </c>
      <c r="G184" s="432">
        <v>20</v>
      </c>
      <c r="H184" s="431">
        <v>3.5000000000000003E-2</v>
      </c>
      <c r="I184" s="434">
        <v>1</v>
      </c>
      <c r="J184" s="537">
        <v>5.9992716342421773E-2</v>
      </c>
      <c r="K184" s="432">
        <v>0</v>
      </c>
      <c r="L184" s="431">
        <v>3</v>
      </c>
      <c r="M184" s="431">
        <v>3</v>
      </c>
      <c r="N184" s="241" t="s">
        <v>501</v>
      </c>
      <c r="O184" s="241" t="s">
        <v>502</v>
      </c>
      <c r="P184" s="430">
        <v>6</v>
      </c>
      <c r="Q184" s="430">
        <v>50</v>
      </c>
      <c r="R184" s="239">
        <v>200</v>
      </c>
    </row>
    <row r="185" spans="1:18" ht="15.75" x14ac:dyDescent="0.25">
      <c r="A185" t="s">
        <v>653</v>
      </c>
      <c r="B185" s="4">
        <v>2.6469999999999998</v>
      </c>
      <c r="C185" s="23">
        <v>1000</v>
      </c>
      <c r="D185" s="433">
        <v>0.11119999999999999</v>
      </c>
      <c r="E185" s="23">
        <v>1200</v>
      </c>
      <c r="F185" s="23">
        <v>462</v>
      </c>
      <c r="G185" s="432">
        <v>20</v>
      </c>
      <c r="H185" s="431">
        <v>3.5000000000000003E-2</v>
      </c>
      <c r="I185" s="434">
        <v>1</v>
      </c>
      <c r="J185" s="537">
        <v>0.10040981793827028</v>
      </c>
      <c r="K185" s="432">
        <v>0</v>
      </c>
      <c r="L185" s="431">
        <v>4</v>
      </c>
      <c r="M185" s="431">
        <v>4</v>
      </c>
      <c r="N185" s="241" t="s">
        <v>505</v>
      </c>
      <c r="O185" s="241" t="s">
        <v>506</v>
      </c>
      <c r="P185" s="430">
        <v>7</v>
      </c>
      <c r="Q185" s="430">
        <v>80</v>
      </c>
      <c r="R185" s="239">
        <v>250</v>
      </c>
    </row>
    <row r="186" spans="1:18" ht="15.75" x14ac:dyDescent="0.25">
      <c r="A186" t="s">
        <v>657</v>
      </c>
      <c r="B186" s="4">
        <v>3.294</v>
      </c>
      <c r="C186" s="23">
        <v>1000</v>
      </c>
      <c r="D186" s="433">
        <v>0.11119999999999999</v>
      </c>
      <c r="E186" s="23">
        <v>1211</v>
      </c>
      <c r="F186" s="23">
        <v>465</v>
      </c>
      <c r="G186" s="432">
        <v>20</v>
      </c>
      <c r="H186" s="431">
        <v>3.5000000000000003E-2</v>
      </c>
      <c r="I186" s="434">
        <v>1</v>
      </c>
      <c r="J186" s="537">
        <v>0.11682754152016997</v>
      </c>
      <c r="K186" s="432">
        <v>0</v>
      </c>
      <c r="L186" s="431">
        <v>4</v>
      </c>
      <c r="M186" s="431">
        <v>4</v>
      </c>
      <c r="N186" s="241" t="s">
        <v>655</v>
      </c>
      <c r="O186" s="241" t="s">
        <v>656</v>
      </c>
      <c r="P186" s="430">
        <v>7</v>
      </c>
      <c r="Q186" s="430">
        <v>80</v>
      </c>
      <c r="R186" s="239">
        <v>250</v>
      </c>
    </row>
    <row r="187" spans="1:18" ht="15.75" x14ac:dyDescent="0.25">
      <c r="A187" t="s">
        <v>652</v>
      </c>
      <c r="B187" s="4">
        <v>2.6469999999999998</v>
      </c>
      <c r="C187" s="23">
        <v>1000</v>
      </c>
      <c r="D187" s="433">
        <v>0.11119999999999999</v>
      </c>
      <c r="E187" s="23">
        <v>1200</v>
      </c>
      <c r="F187" s="23">
        <v>462</v>
      </c>
      <c r="G187" s="432">
        <v>20</v>
      </c>
      <c r="H187" s="431">
        <v>3.5000000000000003E-2</v>
      </c>
      <c r="I187" s="434">
        <v>1</v>
      </c>
      <c r="J187" s="537">
        <v>8.1704390956245515E-2</v>
      </c>
      <c r="K187" s="432">
        <v>0</v>
      </c>
      <c r="L187" s="431">
        <v>4</v>
      </c>
      <c r="M187" s="431">
        <v>4</v>
      </c>
      <c r="N187" s="241" t="s">
        <v>505</v>
      </c>
      <c r="O187" s="241" t="s">
        <v>506</v>
      </c>
      <c r="P187" s="430">
        <v>6</v>
      </c>
      <c r="Q187" s="430">
        <v>80</v>
      </c>
      <c r="R187" s="239">
        <v>250</v>
      </c>
    </row>
    <row r="188" spans="1:18" ht="15.75" x14ac:dyDescent="0.25">
      <c r="A188" t="s">
        <v>654</v>
      </c>
      <c r="B188" s="4">
        <v>3.294</v>
      </c>
      <c r="C188" s="23">
        <v>1000</v>
      </c>
      <c r="D188" s="433">
        <v>0.11119999999999999</v>
      </c>
      <c r="E188" s="23">
        <v>1211</v>
      </c>
      <c r="F188" s="23">
        <v>465</v>
      </c>
      <c r="G188" s="432">
        <v>20</v>
      </c>
      <c r="H188" s="431">
        <v>3.5000000000000003E-2</v>
      </c>
      <c r="I188" s="434">
        <v>1</v>
      </c>
      <c r="J188" s="537">
        <v>0.24586165619967243</v>
      </c>
      <c r="K188" s="432">
        <v>0</v>
      </c>
      <c r="L188" s="431">
        <v>4</v>
      </c>
      <c r="M188" s="431">
        <v>4</v>
      </c>
      <c r="N188" s="241" t="s">
        <v>655</v>
      </c>
      <c r="O188" s="241" t="s">
        <v>656</v>
      </c>
      <c r="P188" s="430">
        <v>6</v>
      </c>
      <c r="Q188" s="430">
        <v>80</v>
      </c>
      <c r="R188" s="239">
        <v>250</v>
      </c>
    </row>
    <row r="189" spans="1:18" ht="15.75" x14ac:dyDescent="0.25">
      <c r="A189" t="s">
        <v>814</v>
      </c>
      <c r="B189" s="4">
        <v>4.8</v>
      </c>
      <c r="C189" s="23">
        <v>1500</v>
      </c>
      <c r="D189" s="433">
        <v>0.21535233000000001</v>
      </c>
      <c r="E189" s="23">
        <v>1406</v>
      </c>
      <c r="F189" s="23">
        <v>620</v>
      </c>
      <c r="G189" s="432">
        <v>20</v>
      </c>
      <c r="H189" s="431">
        <v>3.5000000000000003E-2</v>
      </c>
      <c r="I189" s="434">
        <v>0.97</v>
      </c>
      <c r="J189" s="537">
        <v>0.38365216585732542</v>
      </c>
      <c r="K189" s="432">
        <v>1</v>
      </c>
      <c r="L189" s="431">
        <v>5</v>
      </c>
      <c r="M189" s="431">
        <v>5</v>
      </c>
      <c r="N189" s="241" t="s">
        <v>508</v>
      </c>
      <c r="O189" s="241" t="s">
        <v>509</v>
      </c>
      <c r="P189" s="430">
        <v>7</v>
      </c>
      <c r="Q189" s="430">
        <v>235</v>
      </c>
      <c r="R189" s="239">
        <v>250</v>
      </c>
    </row>
    <row r="190" spans="1:18" ht="15.75" x14ac:dyDescent="0.25">
      <c r="A190" t="s">
        <v>813</v>
      </c>
      <c r="B190" s="4">
        <v>6.944</v>
      </c>
      <c r="C190" s="23">
        <v>1500</v>
      </c>
      <c r="D190" s="433">
        <v>0.25</v>
      </c>
      <c r="E190" s="23">
        <v>1550</v>
      </c>
      <c r="F190" s="23">
        <v>620</v>
      </c>
      <c r="G190" s="432">
        <v>20</v>
      </c>
      <c r="H190" s="431">
        <v>3.5000000000000003E-2</v>
      </c>
      <c r="I190" s="434">
        <v>0.97</v>
      </c>
      <c r="J190" s="537">
        <v>0.40932746697047651</v>
      </c>
      <c r="K190" s="432">
        <v>5</v>
      </c>
      <c r="L190" s="431">
        <v>6</v>
      </c>
      <c r="M190" s="431">
        <v>6</v>
      </c>
      <c r="N190" s="241" t="s">
        <v>658</v>
      </c>
      <c r="O190" s="241" t="s">
        <v>659</v>
      </c>
      <c r="P190" s="430">
        <v>7</v>
      </c>
      <c r="Q190" s="430">
        <v>235</v>
      </c>
      <c r="R190" s="540">
        <v>250</v>
      </c>
    </row>
    <row r="191" spans="1:18" ht="15.75" x14ac:dyDescent="0.25">
      <c r="A191" t="s">
        <v>812</v>
      </c>
      <c r="B191" s="4">
        <v>6.944</v>
      </c>
      <c r="C191" s="23">
        <v>1500</v>
      </c>
      <c r="D191" s="433">
        <v>0.25</v>
      </c>
      <c r="E191" s="23">
        <v>1550</v>
      </c>
      <c r="F191" s="23">
        <v>620</v>
      </c>
      <c r="G191" s="432">
        <v>20</v>
      </c>
      <c r="H191" s="431">
        <v>3.5000000000000003E-2</v>
      </c>
      <c r="I191" s="434">
        <v>0.97</v>
      </c>
      <c r="J191" s="537">
        <v>0.51685397264540078</v>
      </c>
      <c r="K191" s="432">
        <v>5</v>
      </c>
      <c r="L191" s="431">
        <v>6</v>
      </c>
      <c r="M191" s="431">
        <v>6</v>
      </c>
      <c r="N191" s="241" t="s">
        <v>658</v>
      </c>
      <c r="O191" s="241" t="s">
        <v>659</v>
      </c>
      <c r="P191" s="430">
        <v>10</v>
      </c>
      <c r="Q191" s="430">
        <v>235</v>
      </c>
      <c r="R191" s="239">
        <v>250</v>
      </c>
    </row>
    <row r="192" spans="1:18" ht="15.75" x14ac:dyDescent="0.25">
      <c r="A192" t="s">
        <v>811</v>
      </c>
      <c r="B192" s="4">
        <v>8.3330000000000002</v>
      </c>
      <c r="C192" s="23">
        <v>1500</v>
      </c>
      <c r="D192" s="433">
        <v>0.35499999999999998</v>
      </c>
      <c r="E192" s="23">
        <v>1984</v>
      </c>
      <c r="F192" s="23">
        <v>845</v>
      </c>
      <c r="G192" s="432">
        <v>20</v>
      </c>
      <c r="H192" s="431">
        <v>3.5000000000000003E-2</v>
      </c>
      <c r="I192" s="432">
        <v>0.97</v>
      </c>
      <c r="J192" s="537">
        <v>0.67202407512475915</v>
      </c>
      <c r="K192" s="432">
        <v>5</v>
      </c>
      <c r="L192" s="431">
        <v>7</v>
      </c>
      <c r="M192" s="431">
        <v>7</v>
      </c>
      <c r="N192" s="241" t="s">
        <v>660</v>
      </c>
      <c r="O192" s="241" t="s">
        <v>661</v>
      </c>
      <c r="P192" s="430">
        <v>7</v>
      </c>
      <c r="Q192" s="430">
        <v>235</v>
      </c>
      <c r="R192" s="239">
        <v>260</v>
      </c>
    </row>
    <row r="193" spans="1:18" ht="15.75" x14ac:dyDescent="0.25">
      <c r="A193" t="s">
        <v>810</v>
      </c>
      <c r="B193" s="4">
        <v>8.3330000000000002</v>
      </c>
      <c r="C193" s="23">
        <v>1500</v>
      </c>
      <c r="D193" s="433">
        <v>0.35499999999999998</v>
      </c>
      <c r="E193" s="23">
        <v>1984</v>
      </c>
      <c r="F193" s="23">
        <v>845</v>
      </c>
      <c r="G193" s="432">
        <v>20</v>
      </c>
      <c r="H193" s="431">
        <v>3.5000000000000003E-2</v>
      </c>
      <c r="I193" s="432">
        <v>0.97</v>
      </c>
      <c r="J193" s="537">
        <v>0.86234381361773904</v>
      </c>
      <c r="K193" s="432">
        <v>5</v>
      </c>
      <c r="L193" s="431">
        <v>7</v>
      </c>
      <c r="M193" s="431">
        <v>7</v>
      </c>
      <c r="N193" s="241" t="s">
        <v>660</v>
      </c>
      <c r="O193" s="241" t="s">
        <v>661</v>
      </c>
      <c r="P193" s="430">
        <v>10</v>
      </c>
      <c r="Q193" s="430">
        <v>235</v>
      </c>
      <c r="R193" s="239">
        <v>260</v>
      </c>
    </row>
    <row r="194" spans="1:18" ht="15.75" x14ac:dyDescent="0.25">
      <c r="A194" t="s">
        <v>809</v>
      </c>
      <c r="B194" s="4">
        <v>11.111000000000001</v>
      </c>
      <c r="C194" s="23">
        <v>1500</v>
      </c>
      <c r="D194" s="433">
        <v>0.35499999999999998</v>
      </c>
      <c r="E194" s="23">
        <v>1984</v>
      </c>
      <c r="F194" s="23">
        <v>845</v>
      </c>
      <c r="G194" s="432">
        <v>20</v>
      </c>
      <c r="H194" s="431">
        <v>3.5000000000000003E-2</v>
      </c>
      <c r="I194" s="432">
        <v>0.97</v>
      </c>
      <c r="J194" s="537">
        <v>1.3807827617411883</v>
      </c>
      <c r="K194" s="432">
        <v>5</v>
      </c>
      <c r="L194" s="431">
        <v>8</v>
      </c>
      <c r="M194" s="431">
        <v>8</v>
      </c>
      <c r="N194" s="241" t="s">
        <v>660</v>
      </c>
      <c r="O194" s="241" t="s">
        <v>661</v>
      </c>
      <c r="P194" s="430">
        <v>10</v>
      </c>
      <c r="Q194" s="430">
        <v>235</v>
      </c>
      <c r="R194" s="239">
        <v>260</v>
      </c>
    </row>
    <row r="197" spans="1:18" x14ac:dyDescent="0.25">
      <c r="A197">
        <v>1</v>
      </c>
      <c r="B197">
        <f t="shared" ref="B197:P197" si="1">A197+1</f>
        <v>2</v>
      </c>
      <c r="C197">
        <f t="shared" si="1"/>
        <v>3</v>
      </c>
      <c r="D197">
        <f t="shared" si="1"/>
        <v>4</v>
      </c>
      <c r="E197">
        <f t="shared" si="1"/>
        <v>5</v>
      </c>
      <c r="F197">
        <f t="shared" si="1"/>
        <v>6</v>
      </c>
      <c r="G197">
        <f t="shared" si="1"/>
        <v>7</v>
      </c>
      <c r="H197">
        <f t="shared" si="1"/>
        <v>8</v>
      </c>
      <c r="I197">
        <f t="shared" si="1"/>
        <v>9</v>
      </c>
      <c r="J197">
        <f t="shared" si="1"/>
        <v>10</v>
      </c>
      <c r="K197">
        <f t="shared" si="1"/>
        <v>11</v>
      </c>
      <c r="L197">
        <f t="shared" si="1"/>
        <v>12</v>
      </c>
      <c r="M197">
        <f t="shared" si="1"/>
        <v>13</v>
      </c>
      <c r="N197">
        <f t="shared" si="1"/>
        <v>14</v>
      </c>
      <c r="O197">
        <f t="shared" si="1"/>
        <v>15</v>
      </c>
      <c r="P197">
        <f t="shared" si="1"/>
        <v>16</v>
      </c>
    </row>
    <row r="198" spans="1:18" x14ac:dyDescent="0.25">
      <c r="A198" s="47" t="s">
        <v>977</v>
      </c>
      <c r="L198" t="s">
        <v>479</v>
      </c>
    </row>
    <row r="199" spans="1:18" x14ac:dyDescent="0.25">
      <c r="A199" t="s">
        <v>160</v>
      </c>
      <c r="B199" t="s">
        <v>224</v>
      </c>
      <c r="C199" t="s">
        <v>646</v>
      </c>
      <c r="D199" t="s">
        <v>481</v>
      </c>
      <c r="E199" t="s">
        <v>482</v>
      </c>
      <c r="F199" t="s">
        <v>483</v>
      </c>
      <c r="G199" t="s">
        <v>484</v>
      </c>
      <c r="H199" t="s">
        <v>472</v>
      </c>
      <c r="I199" s="201" t="s">
        <v>485</v>
      </c>
      <c r="J199" t="s">
        <v>486</v>
      </c>
      <c r="K199" t="s">
        <v>487</v>
      </c>
      <c r="L199" t="s">
        <v>488</v>
      </c>
      <c r="M199" t="s">
        <v>489</v>
      </c>
      <c r="N199" t="s">
        <v>441</v>
      </c>
      <c r="O199" t="s">
        <v>443</v>
      </c>
    </row>
    <row r="200" spans="1:18" x14ac:dyDescent="0.25">
      <c r="A200" t="s">
        <v>766</v>
      </c>
      <c r="B200" s="4">
        <v>3</v>
      </c>
      <c r="C200" s="23">
        <v>2000</v>
      </c>
      <c r="D200" s="23">
        <v>3.5999999999999999E-3</v>
      </c>
      <c r="E200" s="23">
        <v>160</v>
      </c>
      <c r="F200" s="23">
        <v>66</v>
      </c>
      <c r="G200" s="23">
        <v>20</v>
      </c>
      <c r="H200" s="23">
        <v>3.5000000000000003E-2</v>
      </c>
      <c r="I200" s="432">
        <v>1</v>
      </c>
      <c r="J200" s="537"/>
      <c r="K200" s="23">
        <v>1</v>
      </c>
      <c r="L200" s="23">
        <v>2.25</v>
      </c>
      <c r="M200" s="23">
        <v>2.25</v>
      </c>
      <c r="N200" t="s">
        <v>767</v>
      </c>
      <c r="O200" t="s">
        <v>768</v>
      </c>
      <c r="P200" s="23">
        <v>0</v>
      </c>
    </row>
    <row r="201" spans="1:18" x14ac:dyDescent="0.25">
      <c r="A201" t="s">
        <v>769</v>
      </c>
      <c r="B201" s="4">
        <v>3</v>
      </c>
      <c r="C201" s="23">
        <v>2000</v>
      </c>
      <c r="D201" s="23">
        <v>4.5999999999999999E-3</v>
      </c>
      <c r="E201" s="23">
        <v>200</v>
      </c>
      <c r="F201" s="23">
        <v>78</v>
      </c>
      <c r="G201" s="23">
        <v>20</v>
      </c>
      <c r="H201" s="23">
        <v>3.5000000000000003E-2</v>
      </c>
      <c r="I201" s="432">
        <v>1</v>
      </c>
      <c r="J201" s="545"/>
      <c r="K201" s="23">
        <v>1</v>
      </c>
      <c r="L201" s="23">
        <v>2.625</v>
      </c>
      <c r="M201" s="23">
        <v>2.625</v>
      </c>
      <c r="N201" t="s">
        <v>770</v>
      </c>
      <c r="O201" t="s">
        <v>771</v>
      </c>
      <c r="P201" s="23">
        <v>0</v>
      </c>
    </row>
    <row r="202" spans="1:18" ht="15.75" x14ac:dyDescent="0.25">
      <c r="A202" t="s">
        <v>772</v>
      </c>
      <c r="B202" s="4">
        <v>3.214</v>
      </c>
      <c r="C202" s="23">
        <v>1500</v>
      </c>
      <c r="D202" s="433">
        <v>2.3E-2</v>
      </c>
      <c r="E202" s="23">
        <v>451</v>
      </c>
      <c r="F202" s="23">
        <v>256</v>
      </c>
      <c r="G202" s="432">
        <v>20</v>
      </c>
      <c r="H202" s="431">
        <v>3.5000000000000003E-2</v>
      </c>
      <c r="I202" s="434">
        <v>1</v>
      </c>
      <c r="J202" s="537"/>
      <c r="K202" s="432">
        <v>0</v>
      </c>
      <c r="L202" s="431">
        <v>3</v>
      </c>
      <c r="M202" s="431">
        <v>3</v>
      </c>
      <c r="N202" s="544" t="s">
        <v>773</v>
      </c>
      <c r="O202" s="544" t="s">
        <v>774</v>
      </c>
      <c r="P202" s="430">
        <v>0</v>
      </c>
    </row>
    <row r="203" spans="1:18" ht="15.75" x14ac:dyDescent="0.25">
      <c r="A203" s="533" t="s">
        <v>775</v>
      </c>
      <c r="B203" s="4">
        <v>3.214</v>
      </c>
      <c r="C203" s="23">
        <v>1500</v>
      </c>
      <c r="D203" s="433">
        <v>7.1029999999999996E-2</v>
      </c>
      <c r="E203" s="23">
        <v>600</v>
      </c>
      <c r="F203" s="23">
        <v>237</v>
      </c>
      <c r="G203" s="432">
        <v>20</v>
      </c>
      <c r="H203" s="431">
        <v>3.5000000000000003E-2</v>
      </c>
      <c r="I203" s="434">
        <v>1</v>
      </c>
      <c r="J203" s="537"/>
      <c r="K203" s="432">
        <v>0</v>
      </c>
      <c r="L203" s="431">
        <v>3</v>
      </c>
      <c r="M203" s="431">
        <v>3</v>
      </c>
      <c r="N203" s="544" t="s">
        <v>776</v>
      </c>
      <c r="O203" s="544" t="s">
        <v>774</v>
      </c>
      <c r="P203" s="430">
        <v>0</v>
      </c>
    </row>
    <row r="204" spans="1:18" ht="15.75" x14ac:dyDescent="0.25">
      <c r="A204" s="201" t="s">
        <v>777</v>
      </c>
      <c r="B204" s="4">
        <v>3.214</v>
      </c>
      <c r="C204" s="23">
        <v>1500</v>
      </c>
      <c r="D204" s="433">
        <v>6.8500000000000005E-2</v>
      </c>
      <c r="E204" s="23">
        <v>955</v>
      </c>
      <c r="F204" s="23">
        <v>460</v>
      </c>
      <c r="G204" s="432">
        <v>20</v>
      </c>
      <c r="H204" s="431">
        <v>3.5000000000000003E-2</v>
      </c>
      <c r="I204" s="434">
        <v>1</v>
      </c>
      <c r="J204" s="537"/>
      <c r="K204" s="432">
        <v>0</v>
      </c>
      <c r="L204" s="431">
        <v>4</v>
      </c>
      <c r="M204" s="431">
        <v>4</v>
      </c>
      <c r="N204" s="544" t="s">
        <v>778</v>
      </c>
      <c r="O204" s="544" t="s">
        <v>779</v>
      </c>
      <c r="P204" s="430">
        <v>0</v>
      </c>
    </row>
    <row r="205" spans="1:18" ht="15.75" x14ac:dyDescent="0.25">
      <c r="A205" s="201" t="s">
        <v>780</v>
      </c>
      <c r="B205" s="4">
        <v>4.8</v>
      </c>
      <c r="C205" s="23">
        <v>1500</v>
      </c>
      <c r="D205" s="433">
        <v>0.15</v>
      </c>
      <c r="E205" s="23">
        <v>1070</v>
      </c>
      <c r="F205" s="23">
        <v>590</v>
      </c>
      <c r="G205" s="432">
        <v>20</v>
      </c>
      <c r="H205" s="431">
        <v>3.5000000000000003E-2</v>
      </c>
      <c r="I205" s="434">
        <v>1</v>
      </c>
      <c r="J205" s="537"/>
      <c r="K205" s="432">
        <v>1</v>
      </c>
      <c r="L205" s="431">
        <v>5</v>
      </c>
      <c r="M205" s="431">
        <v>5</v>
      </c>
      <c r="N205" s="544" t="s">
        <v>781</v>
      </c>
      <c r="O205" s="544" t="s">
        <v>782</v>
      </c>
      <c r="P205" s="430">
        <v>0</v>
      </c>
    </row>
    <row r="206" spans="1:18" ht="15.75" x14ac:dyDescent="0.25">
      <c r="A206" t="s">
        <v>762</v>
      </c>
      <c r="B206" s="4">
        <v>6.51</v>
      </c>
      <c r="C206" s="23">
        <v>1500</v>
      </c>
      <c r="D206" s="433">
        <v>0.15</v>
      </c>
      <c r="E206" s="23">
        <v>1070</v>
      </c>
      <c r="F206" s="23">
        <v>590</v>
      </c>
      <c r="G206" s="432">
        <v>50</v>
      </c>
      <c r="H206" s="431">
        <v>3.5000000000000003E-2</v>
      </c>
      <c r="I206" s="434">
        <v>0.97</v>
      </c>
      <c r="J206" s="537"/>
      <c r="K206" s="432">
        <v>5</v>
      </c>
      <c r="L206" s="431">
        <v>6</v>
      </c>
      <c r="M206" s="431">
        <v>6</v>
      </c>
      <c r="N206" s="544" t="s">
        <v>781</v>
      </c>
      <c r="O206" s="544" t="s">
        <v>783</v>
      </c>
      <c r="P206" s="430">
        <v>0</v>
      </c>
    </row>
    <row r="207" spans="1:18" ht="15.75" x14ac:dyDescent="0.25">
      <c r="A207" t="s">
        <v>784</v>
      </c>
      <c r="B207" s="4">
        <v>6.9740000000000002</v>
      </c>
      <c r="C207" s="23">
        <v>1250</v>
      </c>
      <c r="D207" s="433">
        <v>0.313</v>
      </c>
      <c r="E207" s="23">
        <v>1250</v>
      </c>
      <c r="F207" s="23">
        <v>1000</v>
      </c>
      <c r="G207" s="432">
        <v>50</v>
      </c>
      <c r="H207" s="431">
        <v>3.5000000000000003E-2</v>
      </c>
      <c r="I207" s="434">
        <v>0.97</v>
      </c>
      <c r="J207" s="537"/>
      <c r="K207" s="432">
        <v>5</v>
      </c>
      <c r="L207" s="431">
        <v>7</v>
      </c>
      <c r="M207" s="431">
        <v>7</v>
      </c>
      <c r="N207" s="544" t="s">
        <v>785</v>
      </c>
      <c r="O207" s="544" t="s">
        <v>786</v>
      </c>
      <c r="P207" s="430">
        <v>0</v>
      </c>
    </row>
    <row r="208" spans="1:18" ht="15.75" x14ac:dyDescent="0.25">
      <c r="A208" t="s">
        <v>787</v>
      </c>
      <c r="B208" s="4">
        <v>9.8610000000000007</v>
      </c>
      <c r="C208" s="23">
        <v>1250</v>
      </c>
      <c r="D208" s="433">
        <v>0.313</v>
      </c>
      <c r="E208" s="23">
        <v>1328</v>
      </c>
      <c r="F208" s="23">
        <v>930</v>
      </c>
      <c r="G208" s="432">
        <v>50</v>
      </c>
      <c r="H208" s="431">
        <v>3.5000000000000003E-2</v>
      </c>
      <c r="I208" s="434">
        <v>0.97</v>
      </c>
      <c r="J208" s="537"/>
      <c r="K208" s="432">
        <v>6</v>
      </c>
      <c r="L208" s="431">
        <v>8</v>
      </c>
      <c r="M208" s="431">
        <v>8</v>
      </c>
      <c r="N208" s="544" t="s">
        <v>785</v>
      </c>
      <c r="O208" s="544" t="s">
        <v>788</v>
      </c>
      <c r="P208" s="430">
        <v>1</v>
      </c>
    </row>
    <row r="213" spans="1:20" ht="15.75" x14ac:dyDescent="0.25">
      <c r="A213" s="235" t="s">
        <v>789</v>
      </c>
      <c r="B213" s="4">
        <v>3</v>
      </c>
      <c r="C213">
        <v>2000</v>
      </c>
      <c r="D213" s="40">
        <v>3.5999999999999999E-3</v>
      </c>
      <c r="E213">
        <v>160</v>
      </c>
      <c r="F213">
        <v>66</v>
      </c>
      <c r="G213" s="201">
        <v>20</v>
      </c>
      <c r="H213" s="236">
        <v>3.5000000000000003E-2</v>
      </c>
      <c r="I213" s="237">
        <v>1</v>
      </c>
      <c r="J213" s="236">
        <v>1.2999999999999999E-2</v>
      </c>
      <c r="K213" s="201">
        <v>0</v>
      </c>
      <c r="L213" s="236">
        <v>2.25</v>
      </c>
      <c r="M213" s="236">
        <v>2.25</v>
      </c>
      <c r="N213" s="583" t="s">
        <v>767</v>
      </c>
      <c r="O213" s="583" t="s">
        <v>790</v>
      </c>
      <c r="P213" s="583"/>
      <c r="Q213" s="239">
        <v>0</v>
      </c>
    </row>
    <row r="214" spans="1:20" ht="15.75" x14ac:dyDescent="0.25">
      <c r="A214" s="235" t="s">
        <v>791</v>
      </c>
      <c r="B214" s="4">
        <v>2.3683999999999998</v>
      </c>
      <c r="C214">
        <v>2000</v>
      </c>
      <c r="D214" s="40">
        <v>4.5999999999999999E-3</v>
      </c>
      <c r="E214">
        <v>200</v>
      </c>
      <c r="F214">
        <v>78</v>
      </c>
      <c r="G214" s="201">
        <v>20</v>
      </c>
      <c r="H214" s="236">
        <v>3.5000000000000003E-2</v>
      </c>
      <c r="I214" s="237">
        <v>1</v>
      </c>
      <c r="J214" s="236">
        <v>1.9E-2</v>
      </c>
      <c r="K214" s="201">
        <v>0</v>
      </c>
      <c r="L214" s="236">
        <v>2.625</v>
      </c>
      <c r="M214" s="236">
        <v>2.625</v>
      </c>
      <c r="N214" s="583" t="s">
        <v>770</v>
      </c>
      <c r="O214" s="583" t="s">
        <v>792</v>
      </c>
      <c r="P214" s="583"/>
      <c r="Q214" s="239">
        <v>0</v>
      </c>
    </row>
    <row r="215" spans="1:20" ht="15.75" x14ac:dyDescent="0.25">
      <c r="A215" s="235" t="s">
        <v>793</v>
      </c>
      <c r="B215" s="4">
        <v>4</v>
      </c>
      <c r="C215">
        <v>3000</v>
      </c>
      <c r="D215" s="40">
        <v>5.9700000000000003E-2</v>
      </c>
      <c r="E215">
        <v>205</v>
      </c>
      <c r="F215">
        <v>95</v>
      </c>
      <c r="G215" s="201">
        <v>20</v>
      </c>
      <c r="H215" s="236">
        <v>3.5000000000000003E-2</v>
      </c>
      <c r="I215" s="237">
        <v>1</v>
      </c>
      <c r="J215" s="236">
        <v>8.7999999999999995E-2</v>
      </c>
      <c r="K215" s="201">
        <v>0</v>
      </c>
      <c r="L215" s="236">
        <v>3</v>
      </c>
      <c r="M215" s="236">
        <v>3</v>
      </c>
      <c r="N215" s="583" t="s">
        <v>794</v>
      </c>
      <c r="O215" s="583" t="s">
        <v>795</v>
      </c>
      <c r="P215" s="583"/>
      <c r="Q215" s="239">
        <v>0</v>
      </c>
    </row>
    <row r="216" spans="1:20" ht="15.75" x14ac:dyDescent="0.25">
      <c r="A216" s="235" t="s">
        <v>796</v>
      </c>
      <c r="B216" s="4">
        <v>4</v>
      </c>
      <c r="C216">
        <v>1000</v>
      </c>
      <c r="D216" s="40">
        <v>2.3E-2</v>
      </c>
      <c r="E216">
        <v>451</v>
      </c>
      <c r="F216">
        <v>256</v>
      </c>
      <c r="G216" s="201">
        <v>20</v>
      </c>
      <c r="H216" s="236">
        <v>3.5000000000000003E-2</v>
      </c>
      <c r="I216" s="237">
        <v>1</v>
      </c>
      <c r="J216" s="236">
        <v>0.123</v>
      </c>
      <c r="K216" s="201">
        <v>0</v>
      </c>
      <c r="L216" s="236">
        <v>4</v>
      </c>
      <c r="M216" s="236">
        <v>4</v>
      </c>
      <c r="N216" s="583" t="s">
        <v>773</v>
      </c>
      <c r="O216" s="583" t="s">
        <v>797</v>
      </c>
      <c r="P216" s="583"/>
      <c r="Q216" s="239">
        <v>0</v>
      </c>
    </row>
    <row r="217" spans="1:20" ht="15.75" x14ac:dyDescent="0.25">
      <c r="A217" s="235" t="s">
        <v>798</v>
      </c>
      <c r="B217" s="4">
        <v>10</v>
      </c>
      <c r="C217">
        <v>2000</v>
      </c>
      <c r="D217" s="40">
        <v>2.3E-3</v>
      </c>
      <c r="E217">
        <v>120</v>
      </c>
      <c r="F217">
        <v>42</v>
      </c>
      <c r="G217" s="201">
        <v>20</v>
      </c>
      <c r="H217" s="236">
        <v>3.5000000000000003E-2</v>
      </c>
      <c r="I217" s="237">
        <v>1</v>
      </c>
      <c r="J217" s="236">
        <v>9.1999999999999998E-2</v>
      </c>
      <c r="K217" s="201">
        <v>0</v>
      </c>
      <c r="L217" s="236">
        <v>4.5</v>
      </c>
      <c r="M217" s="236">
        <v>4.5</v>
      </c>
      <c r="N217" s="583" t="s">
        <v>799</v>
      </c>
      <c r="O217" s="583" t="s">
        <v>795</v>
      </c>
      <c r="P217" s="583"/>
      <c r="Q217" s="239">
        <v>0</v>
      </c>
    </row>
    <row r="218" spans="1:20" ht="15.75" x14ac:dyDescent="0.25">
      <c r="A218" s="235" t="s">
        <v>800</v>
      </c>
      <c r="B218" s="4">
        <v>4.8</v>
      </c>
      <c r="C218">
        <v>1500</v>
      </c>
      <c r="D218" s="40">
        <v>0.15</v>
      </c>
      <c r="E218">
        <v>1070</v>
      </c>
      <c r="F218">
        <v>590</v>
      </c>
      <c r="G218" s="201">
        <v>20</v>
      </c>
      <c r="H218" s="236">
        <v>3.5000000000000003E-2</v>
      </c>
      <c r="I218" s="237">
        <v>1</v>
      </c>
      <c r="J218" s="236">
        <v>0.50700000000000001</v>
      </c>
      <c r="K218" s="201">
        <v>0</v>
      </c>
      <c r="L218" s="236">
        <v>5</v>
      </c>
      <c r="M218" s="236">
        <v>5</v>
      </c>
      <c r="N218" s="583" t="s">
        <v>781</v>
      </c>
      <c r="O218" s="583" t="s">
        <v>782</v>
      </c>
      <c r="P218" s="583"/>
      <c r="Q218" s="239">
        <v>0</v>
      </c>
    </row>
    <row r="219" spans="1:20" ht="15.75" x14ac:dyDescent="0.25">
      <c r="A219" s="235" t="s">
        <v>801</v>
      </c>
      <c r="B219" s="4">
        <v>6.51</v>
      </c>
      <c r="C219">
        <v>1500</v>
      </c>
      <c r="D219" s="40">
        <v>6.8500000000000005E-2</v>
      </c>
      <c r="E219">
        <v>890</v>
      </c>
      <c r="F219">
        <v>445</v>
      </c>
      <c r="G219" s="201">
        <v>50</v>
      </c>
      <c r="H219" s="236">
        <v>3.5000000000000003E-2</v>
      </c>
      <c r="I219" s="237">
        <v>0.97</v>
      </c>
      <c r="J219" s="236">
        <v>0.49</v>
      </c>
      <c r="K219" s="201">
        <v>5</v>
      </c>
      <c r="L219" s="236">
        <v>6</v>
      </c>
      <c r="M219" s="236">
        <v>6</v>
      </c>
      <c r="N219" s="583" t="s">
        <v>778</v>
      </c>
      <c r="O219" s="583" t="s">
        <v>783</v>
      </c>
      <c r="P219" s="583"/>
      <c r="Q219" s="239">
        <v>0</v>
      </c>
    </row>
    <row r="221" spans="1:20" s="41" customFormat="1" x14ac:dyDescent="0.25">
      <c r="A221" s="41">
        <v>1</v>
      </c>
      <c r="B221" s="13">
        <f t="shared" ref="B221:K221" si="2">A221+1</f>
        <v>2</v>
      </c>
      <c r="C221" s="13">
        <f t="shared" si="2"/>
        <v>3</v>
      </c>
      <c r="D221" s="13">
        <f t="shared" si="2"/>
        <v>4</v>
      </c>
      <c r="E221" s="13">
        <f t="shared" si="2"/>
        <v>5</v>
      </c>
      <c r="F221" s="13">
        <f t="shared" si="2"/>
        <v>6</v>
      </c>
      <c r="G221" s="13">
        <f t="shared" si="2"/>
        <v>7</v>
      </c>
      <c r="H221" s="13">
        <f t="shared" si="2"/>
        <v>8</v>
      </c>
      <c r="I221" s="13">
        <f t="shared" si="2"/>
        <v>9</v>
      </c>
      <c r="J221" s="13">
        <f t="shared" si="2"/>
        <v>10</v>
      </c>
      <c r="K221" s="13">
        <f t="shared" si="2"/>
        <v>11</v>
      </c>
      <c r="L221" s="41">
        <v>12</v>
      </c>
      <c r="M221" s="41">
        <v>13</v>
      </c>
      <c r="N221" s="41">
        <v>14</v>
      </c>
      <c r="O221" s="41">
        <v>15</v>
      </c>
      <c r="P221" s="41">
        <v>16</v>
      </c>
      <c r="Q221" s="41">
        <v>17</v>
      </c>
      <c r="R221" s="41">
        <v>18</v>
      </c>
      <c r="S221" s="41">
        <v>19</v>
      </c>
      <c r="T221" s="41">
        <v>20</v>
      </c>
    </row>
    <row r="222" spans="1:20" x14ac:dyDescent="0.25">
      <c r="A222" s="612" t="s">
        <v>1079</v>
      </c>
    </row>
    <row r="223" spans="1:20" x14ac:dyDescent="0.25">
      <c r="A223" s="235" t="s">
        <v>1083</v>
      </c>
      <c r="B223" t="s">
        <v>1084</v>
      </c>
      <c r="C223" t="s">
        <v>438</v>
      </c>
      <c r="D223" t="s">
        <v>160</v>
      </c>
      <c r="E223" t="s">
        <v>447</v>
      </c>
      <c r="F223" t="s">
        <v>1085</v>
      </c>
      <c r="G223" t="s">
        <v>1086</v>
      </c>
      <c r="H223" t="s">
        <v>434</v>
      </c>
      <c r="I223" t="s">
        <v>435</v>
      </c>
      <c r="J223" t="s">
        <v>1087</v>
      </c>
      <c r="K223" t="s">
        <v>1088</v>
      </c>
      <c r="L223" t="s">
        <v>1089</v>
      </c>
      <c r="M223" t="s">
        <v>1122</v>
      </c>
      <c r="N223" t="s">
        <v>1123</v>
      </c>
      <c r="O223" t="s">
        <v>224</v>
      </c>
      <c r="P223" t="s">
        <v>1124</v>
      </c>
      <c r="Q223" t="s">
        <v>1125</v>
      </c>
      <c r="R223" t="s">
        <v>1126</v>
      </c>
      <c r="S223" t="s">
        <v>1127</v>
      </c>
      <c r="T223" t="s">
        <v>1452</v>
      </c>
    </row>
    <row r="224" spans="1:20" x14ac:dyDescent="0.25">
      <c r="A224" s="235" t="s">
        <v>1081</v>
      </c>
      <c r="B224" t="str">
        <f>$A224&amp;" (1)"</f>
        <v>Allen Bradley MPL - Feed (1)</v>
      </c>
      <c r="C224" t="str">
        <f ca="1">INDIRECT("'"&amp;$B224&amp;"'!$B$8")</f>
        <v>Press Feed</v>
      </c>
      <c r="D224">
        <f ca="1">INDIRECT("'"&amp;$B224&amp;"'!$B$9")</f>
        <v>0</v>
      </c>
      <c r="E224">
        <f ca="1">INDIRECT("'"&amp;$B224&amp;"'!$B$10")</f>
        <v>0</v>
      </c>
      <c r="F224" t="str">
        <f ca="1">INDIRECT("'"&amp;$B224&amp;"'!$B$11")</f>
        <v>Y</v>
      </c>
      <c r="G224" t="str">
        <f ca="1">INDIRECT("'"&amp;$B224&amp;"'!$B$12")</f>
        <v>Y</v>
      </c>
      <c r="H224">
        <f ca="1">INDIRECT("'"&amp;$B224&amp;"'!$E$19")</f>
        <v>180</v>
      </c>
      <c r="I224">
        <f ca="1">INDIRECT("'"&amp;$B224&amp;"'!$E$20")</f>
        <v>240</v>
      </c>
      <c r="J224" t="s">
        <v>1093</v>
      </c>
      <c r="K224" t="s">
        <v>1093</v>
      </c>
      <c r="L224" t="e">
        <f ca="1">ABOK</f>
        <v>#N/A</v>
      </c>
      <c r="M224">
        <f ca="1">INDIRECT("'"&amp;$B224&amp;"'!$D$15")</f>
        <v>48</v>
      </c>
      <c r="N224" t="e">
        <f ca="1">INDIRECT("'"&amp;$B224&amp;"'!$B$24")</f>
        <v>#N/A</v>
      </c>
      <c r="O224" t="e">
        <f ca="1">INDIRECT("'"&amp;$B224&amp;"'!$B$26")</f>
        <v>#N/A</v>
      </c>
      <c r="P224" t="str">
        <f ca="1">INDIRECT("'"&amp;$B224&amp;"'!$D$19")</f>
        <v>Feed Angle 1</v>
      </c>
      <c r="Q224" t="str">
        <f ca="1">INDIRECT("'"&amp;$B224&amp;"'!$D$20")</f>
        <v>Feed Angle 2</v>
      </c>
      <c r="R224" t="str">
        <f ca="1">INDIRECT("'"&amp;$B224&amp;"'!$F$19")</f>
        <v>Deg.</v>
      </c>
      <c r="S224" t="str">
        <f ca="1">INDIRECT("'"&amp;$B224&amp;"'!$F$20")</f>
        <v>Deg.</v>
      </c>
      <c r="T224">
        <f ca="1">INDIRECT("'"&amp;$B224&amp;"'!$B$19")</f>
        <v>80</v>
      </c>
    </row>
    <row r="225" spans="1:20" x14ac:dyDescent="0.25">
      <c r="A225" s="235" t="s">
        <v>1080</v>
      </c>
      <c r="B225" t="str">
        <f>$A225&amp;" (1)"</f>
        <v>Sigma 5 Feed (1)</v>
      </c>
      <c r="C225" t="str">
        <f ca="1">INDIRECT("'"&amp;$B225&amp;"'!$B$8")</f>
        <v>Press Feed</v>
      </c>
      <c r="D225" t="str">
        <f ca="1">INDIRECT("'"&amp;$B225&amp;"'!$B$9")</f>
        <v>CPRF-S8</v>
      </c>
      <c r="E225">
        <f ca="1">INDIRECT("'"&amp;$B225&amp;"'!$B$10")</f>
        <v>42</v>
      </c>
      <c r="F225" t="str">
        <f ca="1">INDIRECT("'"&amp;$B225&amp;"'!$B$11")</f>
        <v>N</v>
      </c>
      <c r="G225" t="str">
        <f ca="1">INDIRECT("'"&amp;$B225&amp;"'!$B$12")</f>
        <v>Y</v>
      </c>
      <c r="H225">
        <f ca="1">INDIRECT("'"&amp;$B225&amp;"'!$E$19")</f>
        <v>180</v>
      </c>
      <c r="I225">
        <f ca="1">INDIRECT("'"&amp;$B225&amp;"'!$E$20")</f>
        <v>240</v>
      </c>
      <c r="J225" t="s">
        <v>1093</v>
      </c>
      <c r="K225" t="s">
        <v>1093</v>
      </c>
      <c r="L225" t="str">
        <f ca="1">Sigma5Pass</f>
        <v>OK</v>
      </c>
      <c r="M225">
        <f t="shared" ref="M225:M226" ca="1" si="3">INDIRECT("'"&amp;$B225&amp;"'!$D$15")</f>
        <v>48</v>
      </c>
      <c r="N225">
        <f t="shared" ref="N225:N226" ca="1" si="4">INDIRECT("'"&amp;$B225&amp;"'!$B$24")</f>
        <v>282.74616628474422</v>
      </c>
      <c r="O225">
        <f t="shared" ref="O225:O226" ca="1" si="5">INDIRECT("'"&amp;$B225&amp;"'!$B$26")</f>
        <v>11.111000000000001</v>
      </c>
      <c r="P225" t="str">
        <f t="shared" ref="P225:P226" ca="1" si="6">INDIRECT("'"&amp;$B225&amp;"'!$D$19")</f>
        <v>Feed Angle 1</v>
      </c>
      <c r="Q225" t="str">
        <f t="shared" ref="Q225:Q226" ca="1" si="7">INDIRECT("'"&amp;$B225&amp;"'!$D$20")</f>
        <v>Feed Angle 2</v>
      </c>
      <c r="R225" t="str">
        <f t="shared" ref="R225:R226" ca="1" si="8">INDIRECT("'"&amp;$B225&amp;"'!$F$19")</f>
        <v>Deg.</v>
      </c>
      <c r="S225" t="str">
        <f t="shared" ref="S225:S226" ca="1" si="9">INDIRECT("'"&amp;$B225&amp;"'!$F$20")</f>
        <v>Deg.</v>
      </c>
      <c r="T225">
        <f ca="1">INDIRECT("'"&amp;$B225&amp;"'!$B$19")</f>
        <v>25</v>
      </c>
    </row>
    <row r="226" spans="1:20" x14ac:dyDescent="0.25">
      <c r="A226" s="235" t="s">
        <v>1082</v>
      </c>
      <c r="B226" t="str">
        <f>$A226&amp;" (1)"</f>
        <v>Sigma 5 Feed with Pull Thru (1)</v>
      </c>
      <c r="C226" t="str">
        <f ca="1">INDIRECT("'"&amp;$B226&amp;"'!$B$8")</f>
        <v>Press Feed</v>
      </c>
      <c r="D226">
        <f ca="1">INDIRECT("'"&amp;$B226&amp;"'!$B$9")</f>
        <v>0</v>
      </c>
      <c r="E226">
        <f ca="1">INDIRECT("'"&amp;$B226&amp;"'!$B$10")</f>
        <v>0</v>
      </c>
      <c r="F226" t="str">
        <f ca="1">INDIRECT("'"&amp;$B226&amp;"'!$B$11")</f>
        <v>N</v>
      </c>
      <c r="G226" t="str">
        <f ca="1">INDIRECT("'"&amp;$B226&amp;"'!$B$12")</f>
        <v>Y</v>
      </c>
      <c r="H226">
        <f ca="1">INDIRECT("'"&amp;$B226&amp;"'!$E$19")</f>
        <v>180</v>
      </c>
      <c r="I226">
        <f ca="1">INDIRECT("'"&amp;$B226&amp;"'!$E$20")</f>
        <v>240</v>
      </c>
      <c r="J226">
        <f ca="1">INDIRECT("'"&amp;$B226&amp;"'!$B$17")</f>
        <v>5</v>
      </c>
      <c r="K226">
        <f ca="1">INDIRECT("'"&amp;$B226&amp;"'!$B$18")</f>
        <v>2</v>
      </c>
      <c r="L226" t="e">
        <f ca="1">SigmaPTOK</f>
        <v>#N/A</v>
      </c>
      <c r="M226">
        <f t="shared" ca="1" si="3"/>
        <v>24</v>
      </c>
      <c r="N226" t="e">
        <f t="shared" ca="1" si="4"/>
        <v>#N/A</v>
      </c>
      <c r="O226" t="e">
        <f t="shared" ca="1" si="5"/>
        <v>#N/A</v>
      </c>
      <c r="P226" t="str">
        <f t="shared" ca="1" si="6"/>
        <v>Feed Angle 1</v>
      </c>
      <c r="Q226" t="str">
        <f t="shared" ca="1" si="7"/>
        <v>Feed Angle 2</v>
      </c>
      <c r="R226" t="str">
        <f t="shared" ca="1" si="8"/>
        <v>Deg.</v>
      </c>
      <c r="S226" t="str">
        <f t="shared" ca="1" si="9"/>
        <v>Deg.</v>
      </c>
      <c r="T226">
        <f ca="1">INDIRECT("'"&amp;$B226&amp;"'!$B$19")</f>
        <v>80</v>
      </c>
    </row>
    <row r="231" spans="1:20" x14ac:dyDescent="0.25">
      <c r="A231" s="47"/>
    </row>
    <row r="232" spans="1:20" x14ac:dyDescent="0.25">
      <c r="A232" t="s">
        <v>160</v>
      </c>
      <c r="B232" s="23" t="s">
        <v>1107</v>
      </c>
      <c r="C232" s="23" t="s">
        <v>1108</v>
      </c>
      <c r="D232" s="23" t="s">
        <v>1109</v>
      </c>
      <c r="E232" s="23" t="s">
        <v>1110</v>
      </c>
      <c r="F232" s="23" t="s">
        <v>1111</v>
      </c>
      <c r="G232" s="23" t="s">
        <v>1431</v>
      </c>
      <c r="H232" s="23" t="s">
        <v>1436</v>
      </c>
      <c r="I232" s="23" t="s">
        <v>1437</v>
      </c>
    </row>
    <row r="233" spans="1:20" x14ac:dyDescent="0.25">
      <c r="A233" t="s">
        <v>1244</v>
      </c>
      <c r="B233" s="23">
        <v>7</v>
      </c>
      <c r="C233" s="23">
        <v>4.5</v>
      </c>
      <c r="D233" s="23">
        <v>4.5</v>
      </c>
      <c r="E233" s="23">
        <v>4000</v>
      </c>
      <c r="F233" s="23">
        <v>3.75</v>
      </c>
      <c r="G233" s="23">
        <v>23</v>
      </c>
      <c r="H233" s="23">
        <v>23</v>
      </c>
      <c r="I233" s="23">
        <v>0.625</v>
      </c>
    </row>
    <row r="234" spans="1:20" x14ac:dyDescent="0.25">
      <c r="A234" t="s">
        <v>1245</v>
      </c>
      <c r="B234" s="23">
        <v>10.5</v>
      </c>
      <c r="C234" s="23">
        <v>6</v>
      </c>
      <c r="D234" s="23">
        <v>6</v>
      </c>
      <c r="E234" s="23">
        <v>6000</v>
      </c>
      <c r="F234" s="23">
        <v>5</v>
      </c>
      <c r="G234" s="23">
        <v>23</v>
      </c>
      <c r="H234" s="23">
        <v>23</v>
      </c>
      <c r="I234" s="23">
        <v>1</v>
      </c>
    </row>
    <row r="235" spans="1:20" x14ac:dyDescent="0.25">
      <c r="A235" t="s">
        <v>1246</v>
      </c>
      <c r="B235" s="23">
        <v>10.5</v>
      </c>
      <c r="C235" s="23">
        <v>6</v>
      </c>
      <c r="D235" s="23">
        <v>6</v>
      </c>
      <c r="E235" s="23">
        <v>8000</v>
      </c>
      <c r="F235" s="23">
        <v>5</v>
      </c>
      <c r="G235" s="23">
        <v>23</v>
      </c>
      <c r="H235" s="23">
        <v>23</v>
      </c>
      <c r="I235" s="23">
        <v>1</v>
      </c>
    </row>
    <row r="236" spans="1:20" x14ac:dyDescent="0.25">
      <c r="A236" t="s">
        <v>42</v>
      </c>
      <c r="B236" s="23">
        <v>24.69</v>
      </c>
      <c r="C236" s="23">
        <v>8.23</v>
      </c>
      <c r="D236" s="23">
        <v>8.23</v>
      </c>
      <c r="E236" s="23">
        <v>10000</v>
      </c>
      <c r="F236" s="23">
        <v>7</v>
      </c>
      <c r="G236" s="23">
        <v>27</v>
      </c>
      <c r="H236" s="23">
        <v>72</v>
      </c>
      <c r="I236" s="23">
        <v>1.5</v>
      </c>
    </row>
    <row r="237" spans="1:20" x14ac:dyDescent="0.25">
      <c r="A237" t="s">
        <v>48</v>
      </c>
      <c r="B237" s="23">
        <v>24.69</v>
      </c>
      <c r="C237" s="23">
        <v>9.02</v>
      </c>
      <c r="D237" s="23">
        <v>8.23</v>
      </c>
      <c r="E237" s="23">
        <v>15000</v>
      </c>
      <c r="F237" s="23">
        <v>7.5</v>
      </c>
      <c r="G237" s="23">
        <v>27</v>
      </c>
      <c r="H237" s="23">
        <v>72</v>
      </c>
      <c r="I237" s="23">
        <v>1.5</v>
      </c>
    </row>
    <row r="238" spans="1:20" x14ac:dyDescent="0.25">
      <c r="A238" t="s">
        <v>43</v>
      </c>
      <c r="B238" s="23">
        <v>24.69</v>
      </c>
      <c r="C238" s="23">
        <v>11.26</v>
      </c>
      <c r="D238" s="23">
        <v>11.26</v>
      </c>
      <c r="E238" s="23">
        <v>20000</v>
      </c>
      <c r="F238" s="23">
        <v>9.5</v>
      </c>
      <c r="G238" s="23">
        <v>27</v>
      </c>
      <c r="H238" s="23">
        <v>72</v>
      </c>
      <c r="I238" s="23">
        <v>1.5</v>
      </c>
    </row>
    <row r="239" spans="1:20" x14ac:dyDescent="0.25">
      <c r="A239" t="s">
        <v>44</v>
      </c>
      <c r="B239" s="23">
        <v>29.8</v>
      </c>
      <c r="C239" s="23">
        <v>13.19</v>
      </c>
      <c r="D239" s="23">
        <v>11.65</v>
      </c>
      <c r="E239" s="23">
        <v>30000</v>
      </c>
      <c r="F239" s="23">
        <v>10.5</v>
      </c>
      <c r="G239" s="23">
        <v>27</v>
      </c>
      <c r="H239" s="23">
        <v>72</v>
      </c>
      <c r="I239" s="23">
        <v>1.5</v>
      </c>
    </row>
    <row r="240" spans="1:20" x14ac:dyDescent="0.25">
      <c r="A240" t="s">
        <v>45</v>
      </c>
      <c r="B240" s="23">
        <v>29.8</v>
      </c>
      <c r="C240" s="23">
        <v>15.43</v>
      </c>
      <c r="D240" s="23">
        <v>12.68</v>
      </c>
      <c r="E240" s="23">
        <v>40000</v>
      </c>
      <c r="F240" s="23">
        <v>11.5</v>
      </c>
      <c r="G240" s="23">
        <v>27</v>
      </c>
      <c r="H240" s="23">
        <v>72</v>
      </c>
      <c r="I240" s="23">
        <v>1.5</v>
      </c>
    </row>
    <row r="241" spans="1:9" x14ac:dyDescent="0.25">
      <c r="A241" t="s">
        <v>46</v>
      </c>
      <c r="B241" s="23">
        <v>29.8</v>
      </c>
      <c r="C241" s="23">
        <v>15.35</v>
      </c>
      <c r="D241" s="23">
        <v>13.19</v>
      </c>
      <c r="E241" s="23">
        <v>50000</v>
      </c>
      <c r="F241" s="23">
        <v>11.5</v>
      </c>
      <c r="G241" s="23">
        <v>27</v>
      </c>
      <c r="H241" s="23">
        <v>72</v>
      </c>
      <c r="I241" s="23">
        <v>1.5</v>
      </c>
    </row>
    <row r="242" spans="1:9" x14ac:dyDescent="0.25">
      <c r="A242" t="s">
        <v>47</v>
      </c>
      <c r="B242" s="23">
        <v>29.8</v>
      </c>
      <c r="C242" s="23">
        <v>15.35</v>
      </c>
      <c r="D242" s="23">
        <v>13.19</v>
      </c>
      <c r="E242" s="23">
        <v>60000</v>
      </c>
      <c r="F242" s="23">
        <v>13</v>
      </c>
      <c r="G242" s="23">
        <v>27</v>
      </c>
      <c r="H242" s="23">
        <v>72</v>
      </c>
      <c r="I242" s="23">
        <v>1.5</v>
      </c>
    </row>
    <row r="245" spans="1:9" x14ac:dyDescent="0.25">
      <c r="A245" t="s">
        <v>1295</v>
      </c>
      <c r="B245" s="23">
        <v>1.2</v>
      </c>
    </row>
    <row r="246" spans="1:9" x14ac:dyDescent="0.25">
      <c r="A246" t="s">
        <v>1338</v>
      </c>
      <c r="B246" s="23">
        <v>0.4</v>
      </c>
    </row>
    <row r="247" spans="1:9" x14ac:dyDescent="0.25">
      <c r="A247" t="s">
        <v>1339</v>
      </c>
      <c r="B247" s="23">
        <v>0.7</v>
      </c>
    </row>
    <row r="248" spans="1:9" x14ac:dyDescent="0.25">
      <c r="A248" t="s">
        <v>1340</v>
      </c>
      <c r="B248" s="23">
        <v>0.55000000000000004</v>
      </c>
    </row>
    <row r="249" spans="1:9" x14ac:dyDescent="0.25">
      <c r="A249" t="s">
        <v>1341</v>
      </c>
      <c r="B249" t="s">
        <v>839</v>
      </c>
    </row>
    <row r="250" spans="1:9" x14ac:dyDescent="0.25">
      <c r="A250" t="s">
        <v>1342</v>
      </c>
      <c r="B250" t="s">
        <v>1344</v>
      </c>
    </row>
    <row r="251" spans="1:9" x14ac:dyDescent="0.25">
      <c r="A251" t="s">
        <v>1343</v>
      </c>
      <c r="B251" t="s">
        <v>1345</v>
      </c>
    </row>
    <row r="253" spans="1:9" x14ac:dyDescent="0.25">
      <c r="A253" t="s">
        <v>1346</v>
      </c>
      <c r="B253" t="str">
        <f>_xlfn.XLOOKUP([0]!reel_model, tblReelModel[Model], tblReelModel[DriveFamily], "", 0, 1)</f>
        <v>D3</v>
      </c>
    </row>
    <row r="254" spans="1:9" x14ac:dyDescent="0.25">
      <c r="A254" t="s">
        <v>1347</v>
      </c>
      <c r="B254" t="str">
        <f>_xlfn.XLOOKUP([0]!reel_model, tblReelModel[Model], tblReelModel[HolddownFamily], "", 0, 1)</f>
        <v>H3</v>
      </c>
    </row>
    <row r="255" spans="1:9" x14ac:dyDescent="0.25">
      <c r="A255" t="s">
        <v>1355</v>
      </c>
      <c r="B255" t="str">
        <f>DriveFamily&amp;"+"&amp;'TD,DB,HD (1)'!air_clutch&amp;"+"&amp;'TD,DB,HD (1)'!hydthd</f>
        <v>D3+Yes+60 cu in (D-13374)</v>
      </c>
    </row>
    <row r="256" spans="1:9" x14ac:dyDescent="0.25">
      <c r="A256" t="s">
        <v>1366</v>
      </c>
      <c r="B256" t="str">
        <f>_xlfn.CONCAT(HolddownFamily,"+", _xlfn.XLOOKUP('TD,DB,HD (1)'!holddown_assy, tblHDOrder[Name], tblHDOrder[Sort], "", 0, 1), "+", 'TD,DB,HD (1)'!holddown_assy,"+",'TD,DB,HD (1)'!holddown_cylinder)</f>
        <v>H3+J+XD+Hydraulic</v>
      </c>
    </row>
    <row r="257" spans="1:20" x14ac:dyDescent="0.25">
      <c r="H257" s="3" t="s">
        <v>1378</v>
      </c>
    </row>
    <row r="258" spans="1:20" x14ac:dyDescent="0.25">
      <c r="A258" t="s">
        <v>160</v>
      </c>
      <c r="B258" t="s">
        <v>1346</v>
      </c>
      <c r="C258" t="s">
        <v>1347</v>
      </c>
      <c r="D258" t="s">
        <v>1444</v>
      </c>
      <c r="H258" s="714" t="s">
        <v>1376</v>
      </c>
      <c r="I258" s="714" t="s">
        <v>1434</v>
      </c>
      <c r="K258" s="714" t="s">
        <v>1433</v>
      </c>
      <c r="N258" s="714" t="s">
        <v>1432</v>
      </c>
      <c r="P258" s="715" t="s">
        <v>1435</v>
      </c>
      <c r="R258" s="715" t="s">
        <v>1438</v>
      </c>
      <c r="T258" s="715" t="s">
        <v>1439</v>
      </c>
    </row>
    <row r="259" spans="1:20" x14ac:dyDescent="0.25">
      <c r="A259" t="s">
        <v>1244</v>
      </c>
      <c r="B259" t="s">
        <v>1348</v>
      </c>
      <c r="C259" t="s">
        <v>1349</v>
      </c>
      <c r="D259" t="s">
        <v>1445</v>
      </c>
      <c r="H259" s="714" t="str" cm="1">
        <f t="array" ref="H259:H268">tblReelModel[Model]</f>
        <v>CPR-040</v>
      </c>
      <c r="I259" s="714" t="str" cm="1">
        <f t="array" ref="I259:I262">_xlfn.UNIQUE(_xlfn._xlws.SORT(_xlfn._xlws.FILTER(tblDrives[Drive], tblDrives[Family]=DriveFamily, "")), FALSE, FALSE)</f>
        <v>22 cu in (D-12689)</v>
      </c>
      <c r="K259" s="714" t="str" cm="1">
        <f t="array" ref="K259:K265">_xlfn.UNIQUE(_xlfn._xlws.FILTER(tblHDMatrix[Name], tblHDMatrix[HolddownFamily]=HolddownFamily, ""), FALSE, FALSE)</f>
        <v>SD</v>
      </c>
      <c r="N259" s="714" t="str" cm="1">
        <f t="array" ref="N259">_xlfn.UNIQUE(_xlfn._xlws.FILTER(tblHDMatrix[CylinderType], (tblHDMatrix[HolddownFamily]=HolddownFamily)*(tblHDMatrix[Name]='TD,DB,HD (1)'!holddown_assy), ""), FALSE, FALSE)</f>
        <v>Hydraulic</v>
      </c>
      <c r="P259" s="715" cm="1">
        <f t="array" ref="P259:P264">_xlfn.UNIQUE(_xlfn._xlws.FILTER(tblReelWidth[Width], (tblReelWidth[Model]=[0]!reel_model)*(tblReelWidth[Width]&gt;=CoilWidth_Max), ""), FALSE, FALSE)</f>
        <v>42</v>
      </c>
      <c r="R259" s="715" cm="1">
        <f t="array" ref="R259:R263">_xlfn.UNIQUE(_xlfn._xlws.FILTER(tblReelHP[HP], tblReelHP[Model]=[0]!reel_model, ""), FALSE, FALSE)</f>
        <v>5</v>
      </c>
      <c r="T259" s="715" cm="1">
        <f t="array" ref="T259:T260">_xlfn.UNIQUE(_xlfn._xlws.FILTER(tblReelBP[Backplate], tblReelBP[Model]=[0]!reel_model, ""), FALSE, FALSE)</f>
        <v>27</v>
      </c>
    </row>
    <row r="260" spans="1:20" x14ac:dyDescent="0.25">
      <c r="A260" t="s">
        <v>1245</v>
      </c>
      <c r="B260" t="s">
        <v>1350</v>
      </c>
      <c r="C260" t="s">
        <v>1351</v>
      </c>
      <c r="D260" t="s">
        <v>1446</v>
      </c>
      <c r="H260" s="714" t="str">
        <v>CPR-060</v>
      </c>
      <c r="I260" s="714" t="str">
        <v>38 cu in (D-13374)</v>
      </c>
      <c r="K260" s="714" t="str">
        <v>SD_MOTORIZED</v>
      </c>
      <c r="N260" s="714"/>
      <c r="P260" s="715">
        <v>48</v>
      </c>
      <c r="R260" s="715">
        <v>7.5</v>
      </c>
      <c r="T260" s="715">
        <v>72</v>
      </c>
    </row>
    <row r="261" spans="1:20" x14ac:dyDescent="0.25">
      <c r="A261" t="s">
        <v>1246</v>
      </c>
      <c r="B261" t="s">
        <v>1350</v>
      </c>
      <c r="C261" t="s">
        <v>1351</v>
      </c>
      <c r="D261" t="s">
        <v>1446</v>
      </c>
      <c r="H261" s="714" t="str">
        <v>CPR-080</v>
      </c>
      <c r="I261" s="714" t="str">
        <v>60 cu in (D-13374)</v>
      </c>
      <c r="K261" s="714" t="str">
        <v>MD</v>
      </c>
      <c r="N261" s="714"/>
      <c r="P261" s="715">
        <v>54</v>
      </c>
      <c r="R261" s="715">
        <v>10</v>
      </c>
      <c r="T261" s="715"/>
    </row>
    <row r="262" spans="1:20" x14ac:dyDescent="0.25">
      <c r="A262" t="s">
        <v>42</v>
      </c>
      <c r="B262" t="s">
        <v>1352</v>
      </c>
      <c r="C262" t="s">
        <v>1353</v>
      </c>
      <c r="D262" t="s">
        <v>1446</v>
      </c>
      <c r="H262" s="714" t="str">
        <v>CPR-100</v>
      </c>
      <c r="I262" s="714" t="str">
        <v>60 cu in (D-13382)</v>
      </c>
      <c r="K262" s="714" t="str">
        <v>HD_Single</v>
      </c>
      <c r="N262" s="714"/>
      <c r="P262" s="715">
        <v>60</v>
      </c>
      <c r="R262" s="715">
        <v>15</v>
      </c>
      <c r="T262" s="715"/>
    </row>
    <row r="263" spans="1:20" x14ac:dyDescent="0.25">
      <c r="A263" t="s">
        <v>48</v>
      </c>
      <c r="B263" t="s">
        <v>1352</v>
      </c>
      <c r="C263" t="s">
        <v>1353</v>
      </c>
      <c r="D263" t="s">
        <v>1446</v>
      </c>
      <c r="H263" s="714" t="str">
        <v>CPR-150</v>
      </c>
      <c r="I263" s="714"/>
      <c r="K263" s="714" t="str">
        <v>HD_Dual</v>
      </c>
      <c r="N263" s="714"/>
      <c r="P263" s="715">
        <v>66</v>
      </c>
      <c r="R263" s="715">
        <v>20</v>
      </c>
      <c r="T263" s="715"/>
    </row>
    <row r="264" spans="1:20" x14ac:dyDescent="0.25">
      <c r="A264" t="s">
        <v>43</v>
      </c>
      <c r="B264" t="s">
        <v>1352</v>
      </c>
      <c r="C264" t="s">
        <v>1353</v>
      </c>
      <c r="D264" t="s">
        <v>1446</v>
      </c>
      <c r="H264" s="714" t="str">
        <v>CPR-200</v>
      </c>
      <c r="I264" s="714"/>
      <c r="K264" s="714" t="str">
        <v>XD</v>
      </c>
      <c r="N264" s="714"/>
      <c r="P264" s="715">
        <v>72</v>
      </c>
      <c r="R264" s="715"/>
      <c r="T264" s="715"/>
    </row>
    <row r="265" spans="1:20" x14ac:dyDescent="0.25">
      <c r="A265" t="s">
        <v>44</v>
      </c>
      <c r="B265" t="s">
        <v>1352</v>
      </c>
      <c r="C265" t="s">
        <v>1353</v>
      </c>
      <c r="D265" t="s">
        <v>1446</v>
      </c>
      <c r="H265" s="714" t="str">
        <v>CPR-300</v>
      </c>
      <c r="I265" s="714"/>
      <c r="K265" s="714" t="str">
        <v>XXD</v>
      </c>
      <c r="N265" s="714"/>
      <c r="P265" s="715"/>
      <c r="R265" s="715"/>
      <c r="T265" s="715"/>
    </row>
    <row r="266" spans="1:20" x14ac:dyDescent="0.25">
      <c r="A266" t="s">
        <v>45</v>
      </c>
      <c r="B266" t="s">
        <v>1352</v>
      </c>
      <c r="C266" t="s">
        <v>1353</v>
      </c>
      <c r="D266" t="s">
        <v>1446</v>
      </c>
      <c r="H266" s="714" t="str">
        <v>CPR-400</v>
      </c>
      <c r="I266" s="714"/>
      <c r="K266" s="714"/>
      <c r="N266" s="714"/>
      <c r="P266" s="715"/>
      <c r="R266" s="715"/>
      <c r="T266" s="715"/>
    </row>
    <row r="267" spans="1:20" x14ac:dyDescent="0.25">
      <c r="A267" t="s">
        <v>46</v>
      </c>
      <c r="B267" t="s">
        <v>1352</v>
      </c>
      <c r="C267" t="s">
        <v>1354</v>
      </c>
      <c r="D267" t="s">
        <v>1446</v>
      </c>
      <c r="H267" s="714" t="str">
        <v>CPR-500</v>
      </c>
      <c r="I267" s="714"/>
      <c r="K267" s="714"/>
      <c r="N267" s="714"/>
      <c r="P267" s="715"/>
      <c r="R267" s="715"/>
      <c r="T267" s="715"/>
    </row>
    <row r="268" spans="1:20" x14ac:dyDescent="0.25">
      <c r="A268" t="s">
        <v>47</v>
      </c>
      <c r="B268" t="s">
        <v>1352</v>
      </c>
      <c r="C268" t="s">
        <v>1354</v>
      </c>
      <c r="D268" t="s">
        <v>1446</v>
      </c>
      <c r="H268" s="714" t="str">
        <v>CPR-600</v>
      </c>
      <c r="I268" s="714"/>
      <c r="K268" s="714"/>
      <c r="N268" s="714"/>
      <c r="P268" s="715"/>
      <c r="R268" s="715"/>
      <c r="T268" s="715"/>
    </row>
    <row r="271" spans="1:20" x14ac:dyDescent="0.25">
      <c r="A271" t="s">
        <v>1458</v>
      </c>
    </row>
    <row r="272" spans="1:20" x14ac:dyDescent="0.25">
      <c r="A272" t="s">
        <v>1355</v>
      </c>
      <c r="B272" t="s">
        <v>1356</v>
      </c>
      <c r="C272" t="s">
        <v>1357</v>
      </c>
      <c r="D272" t="s">
        <v>1358</v>
      </c>
      <c r="E272" t="s">
        <v>1359</v>
      </c>
    </row>
    <row r="273" spans="1:5" x14ac:dyDescent="0.25">
      <c r="A273" t="str">
        <f t="shared" ref="A273:A285" si="10">B273&amp;"+"&amp;C273&amp;"+"&amp;D273</f>
        <v>D1+No+None</v>
      </c>
      <c r="B273" t="s">
        <v>1348</v>
      </c>
      <c r="C273" t="s">
        <v>1289</v>
      </c>
      <c r="D273" t="s">
        <v>835</v>
      </c>
      <c r="E273">
        <v>1000</v>
      </c>
    </row>
    <row r="274" spans="1:5" x14ac:dyDescent="0.25">
      <c r="A274" t="str">
        <f t="shared" si="10"/>
        <v>D2+No+22 cu in (D-15125)</v>
      </c>
      <c r="B274" t="s">
        <v>1350</v>
      </c>
      <c r="C274" t="s">
        <v>1289</v>
      </c>
      <c r="D274" t="s">
        <v>1360</v>
      </c>
      <c r="E274">
        <v>6500</v>
      </c>
    </row>
    <row r="275" spans="1:5" x14ac:dyDescent="0.25">
      <c r="A275" t="str">
        <f t="shared" si="10"/>
        <v>D2+No+38 cu in (D-15125)</v>
      </c>
      <c r="B275" t="s">
        <v>1350</v>
      </c>
      <c r="C275" t="s">
        <v>1289</v>
      </c>
      <c r="D275" t="s">
        <v>1361</v>
      </c>
      <c r="E275">
        <v>12025</v>
      </c>
    </row>
    <row r="276" spans="1:5" x14ac:dyDescent="0.25">
      <c r="A276" t="str">
        <f t="shared" si="10"/>
        <v>D2+No+None</v>
      </c>
      <c r="B276" t="s">
        <v>1350</v>
      </c>
      <c r="C276" t="s">
        <v>1289</v>
      </c>
      <c r="D276" t="s">
        <v>835</v>
      </c>
      <c r="E276">
        <v>1000</v>
      </c>
    </row>
    <row r="277" spans="1:5" x14ac:dyDescent="0.25">
      <c r="A277" t="str">
        <f t="shared" si="10"/>
        <v>D2+Yes+22 cu in (D-15125)</v>
      </c>
      <c r="B277" t="s">
        <v>1350</v>
      </c>
      <c r="C277" t="s">
        <v>1301</v>
      </c>
      <c r="D277" t="s">
        <v>1360</v>
      </c>
      <c r="E277">
        <v>6500</v>
      </c>
    </row>
    <row r="278" spans="1:5" x14ac:dyDescent="0.25">
      <c r="A278" t="str">
        <f t="shared" si="10"/>
        <v>D2+Yes+38 cu in (D-15125)</v>
      </c>
      <c r="B278" t="s">
        <v>1350</v>
      </c>
      <c r="C278" t="s">
        <v>1301</v>
      </c>
      <c r="D278" t="s">
        <v>1361</v>
      </c>
      <c r="E278">
        <v>11452</v>
      </c>
    </row>
    <row r="279" spans="1:5" x14ac:dyDescent="0.25">
      <c r="A279" t="str">
        <f t="shared" si="10"/>
        <v>D3+No+22 cu in (D-12689)</v>
      </c>
      <c r="B279" t="s">
        <v>1352</v>
      </c>
      <c r="C279" t="s">
        <v>1289</v>
      </c>
      <c r="D279" t="s">
        <v>1362</v>
      </c>
      <c r="E279">
        <v>12627</v>
      </c>
    </row>
    <row r="280" spans="1:5" x14ac:dyDescent="0.25">
      <c r="A280" t="str">
        <f t="shared" si="10"/>
        <v>D3+No+38 cu in (D-13374)</v>
      </c>
      <c r="B280" t="s">
        <v>1352</v>
      </c>
      <c r="C280" t="s">
        <v>1289</v>
      </c>
      <c r="D280" t="s">
        <v>1363</v>
      </c>
      <c r="E280">
        <v>22151</v>
      </c>
    </row>
    <row r="281" spans="1:5" x14ac:dyDescent="0.25">
      <c r="A281" t="str">
        <f t="shared" si="10"/>
        <v>D3+No+60 cu in (D-13374)</v>
      </c>
      <c r="B281" t="s">
        <v>1352</v>
      </c>
      <c r="C281" t="s">
        <v>1289</v>
      </c>
      <c r="D281" t="s">
        <v>1364</v>
      </c>
      <c r="E281">
        <v>37883</v>
      </c>
    </row>
    <row r="282" spans="1:5" x14ac:dyDescent="0.25">
      <c r="A282" t="str">
        <f t="shared" si="10"/>
        <v>D3+Yes+22 cu in (D-12689)</v>
      </c>
      <c r="B282" t="s">
        <v>1352</v>
      </c>
      <c r="C282" t="s">
        <v>1301</v>
      </c>
      <c r="D282" t="s">
        <v>1362</v>
      </c>
      <c r="E282">
        <v>10260</v>
      </c>
    </row>
    <row r="283" spans="1:5" x14ac:dyDescent="0.25">
      <c r="A283" t="str">
        <f t="shared" si="10"/>
        <v>D3+Yes+38 cu in (D-13374)</v>
      </c>
      <c r="B283" t="s">
        <v>1352</v>
      </c>
      <c r="C283" t="s">
        <v>1301</v>
      </c>
      <c r="D283" t="s">
        <v>1363</v>
      </c>
      <c r="E283">
        <v>15156</v>
      </c>
    </row>
    <row r="284" spans="1:5" x14ac:dyDescent="0.25">
      <c r="A284" t="str">
        <f t="shared" si="10"/>
        <v>D3+Yes+60 cu in (D-13374)</v>
      </c>
      <c r="B284" t="s">
        <v>1352</v>
      </c>
      <c r="C284" t="s">
        <v>1301</v>
      </c>
      <c r="D284" t="s">
        <v>1364</v>
      </c>
      <c r="E284">
        <v>25920</v>
      </c>
    </row>
    <row r="285" spans="1:5" x14ac:dyDescent="0.25">
      <c r="A285" t="str">
        <f t="shared" si="10"/>
        <v>D3+Yes+60 cu in (D-13382)</v>
      </c>
      <c r="B285" t="s">
        <v>1352</v>
      </c>
      <c r="C285" t="s">
        <v>1301</v>
      </c>
      <c r="D285" t="s">
        <v>1335</v>
      </c>
      <c r="E285">
        <v>54720</v>
      </c>
    </row>
    <row r="291" spans="1:14" x14ac:dyDescent="0.25">
      <c r="A291" t="s">
        <v>1365</v>
      </c>
    </row>
    <row r="292" spans="1:14" x14ac:dyDescent="0.25">
      <c r="A292" t="s">
        <v>1417</v>
      </c>
    </row>
    <row r="293" spans="1:14" x14ac:dyDescent="0.25">
      <c r="A293" t="s">
        <v>1366</v>
      </c>
      <c r="B293" t="s">
        <v>1347</v>
      </c>
      <c r="C293" t="s">
        <v>1406</v>
      </c>
      <c r="D293" t="s">
        <v>1367</v>
      </c>
      <c r="E293" t="s">
        <v>1368</v>
      </c>
      <c r="F293" t="s">
        <v>1369</v>
      </c>
      <c r="G293" t="s">
        <v>1370</v>
      </c>
      <c r="H293" t="s">
        <v>961</v>
      </c>
      <c r="I293" t="s">
        <v>1400</v>
      </c>
      <c r="J293" t="s">
        <v>1401</v>
      </c>
      <c r="M293" t="s">
        <v>1367</v>
      </c>
      <c r="N293" t="s">
        <v>1406</v>
      </c>
    </row>
    <row r="294" spans="1:14" x14ac:dyDescent="0.25">
      <c r="A294" t="str">
        <f t="shared" ref="A294:A333" si="11">_xlfn.CONCAT($B294,"+",$C294,"+",$D294,"+",$E294)</f>
        <v>H1+A+None+Air</v>
      </c>
      <c r="B294" t="s">
        <v>1349</v>
      </c>
      <c r="C294" t="str">
        <f>_xlfn.XLOOKUP($D294, tblHDOrder[Name], tblHDOrder[Sort], "", 0, 1)</f>
        <v>A</v>
      </c>
      <c r="D294" t="s">
        <v>835</v>
      </c>
      <c r="E294" t="s">
        <v>1374</v>
      </c>
      <c r="F294" t="s">
        <v>1288</v>
      </c>
      <c r="G294" s="39">
        <v>80</v>
      </c>
      <c r="H294" s="39">
        <v>1.25</v>
      </c>
      <c r="I294" s="44">
        <v>0</v>
      </c>
      <c r="J294">
        <v>80</v>
      </c>
      <c r="M294" t="s">
        <v>1419</v>
      </c>
      <c r="N294" t="s">
        <v>1414</v>
      </c>
    </row>
    <row r="295" spans="1:14" x14ac:dyDescent="0.25">
      <c r="A295" t="str">
        <f t="shared" si="11"/>
        <v>H1+B+LD_STANDARD+4in Air</v>
      </c>
      <c r="B295" t="s">
        <v>1349</v>
      </c>
      <c r="C295" t="str">
        <f>_xlfn.XLOOKUP($D295, tblHDOrder[Name], tblHDOrder[Sort], "", 0, 1)</f>
        <v>B</v>
      </c>
      <c r="D295" t="s">
        <v>1324</v>
      </c>
      <c r="E295" t="s">
        <v>1371</v>
      </c>
      <c r="F295" t="s">
        <v>1329</v>
      </c>
      <c r="G295" s="39">
        <v>80</v>
      </c>
      <c r="H295" s="39">
        <v>3.8125</v>
      </c>
      <c r="I295" s="44">
        <v>4</v>
      </c>
      <c r="J295">
        <v>350</v>
      </c>
      <c r="M295" t="s">
        <v>1404</v>
      </c>
      <c r="N295" t="s">
        <v>1415</v>
      </c>
    </row>
    <row r="296" spans="1:14" x14ac:dyDescent="0.25">
      <c r="A296" t="str">
        <f t="shared" si="11"/>
        <v>H1+B+LD_STANDARD+5in Air</v>
      </c>
      <c r="B296" t="s">
        <v>1349</v>
      </c>
      <c r="C296" t="str">
        <f>_xlfn.XLOOKUP($D296, tblHDOrder[Name], tblHDOrder[Sort], "", 0, 1)</f>
        <v>B</v>
      </c>
      <c r="D296" t="s">
        <v>1324</v>
      </c>
      <c r="E296" t="s">
        <v>1372</v>
      </c>
      <c r="F296" t="s">
        <v>1330</v>
      </c>
      <c r="G296" s="39">
        <v>80</v>
      </c>
      <c r="H296" s="39">
        <v>5.8250000000000002</v>
      </c>
      <c r="I296" s="44">
        <v>4</v>
      </c>
      <c r="J296">
        <v>350</v>
      </c>
      <c r="M296" t="s">
        <v>1326</v>
      </c>
      <c r="N296" t="s">
        <v>1410</v>
      </c>
    </row>
    <row r="297" spans="1:14" x14ac:dyDescent="0.25">
      <c r="A297" t="str">
        <f t="shared" si="11"/>
        <v>H1+C+LD_NARROW+4in Air</v>
      </c>
      <c r="B297" t="s">
        <v>1349</v>
      </c>
      <c r="C297" t="str">
        <f>_xlfn.XLOOKUP($D297, tblHDOrder[Name], tblHDOrder[Sort], "", 0, 1)</f>
        <v>C</v>
      </c>
      <c r="D297" t="s">
        <v>1325</v>
      </c>
      <c r="E297" t="s">
        <v>1371</v>
      </c>
      <c r="F297" t="s">
        <v>1329</v>
      </c>
      <c r="G297" s="39">
        <v>80</v>
      </c>
      <c r="H297" s="39">
        <v>3.673</v>
      </c>
      <c r="I297" s="44">
        <v>1.5</v>
      </c>
      <c r="J297">
        <v>350</v>
      </c>
      <c r="M297" t="s">
        <v>1325</v>
      </c>
      <c r="N297" t="s">
        <v>1409</v>
      </c>
    </row>
    <row r="298" spans="1:14" x14ac:dyDescent="0.25">
      <c r="A298" t="str">
        <f t="shared" si="11"/>
        <v>H2+A+None+Air</v>
      </c>
      <c r="B298" t="s">
        <v>1351</v>
      </c>
      <c r="C298" t="str">
        <f>_xlfn.XLOOKUP($D298, tblHDOrder[Name], tblHDOrder[Sort], "", 0, 1)</f>
        <v>A</v>
      </c>
      <c r="D298" t="s">
        <v>835</v>
      </c>
      <c r="E298" t="s">
        <v>1374</v>
      </c>
      <c r="F298" t="s">
        <v>1288</v>
      </c>
      <c r="G298" s="39">
        <v>80</v>
      </c>
      <c r="H298" s="39">
        <v>1.25</v>
      </c>
      <c r="I298" s="44">
        <v>0</v>
      </c>
      <c r="J298">
        <v>80</v>
      </c>
      <c r="M298" t="s">
        <v>1324</v>
      </c>
      <c r="N298" t="s">
        <v>1408</v>
      </c>
    </row>
    <row r="299" spans="1:14" x14ac:dyDescent="0.25">
      <c r="A299" t="str">
        <f t="shared" si="11"/>
        <v>H2+B+LD_STANDARD+4in Air</v>
      </c>
      <c r="B299" t="s">
        <v>1351</v>
      </c>
      <c r="C299" t="str">
        <f>_xlfn.XLOOKUP($D299, tblHDOrder[Name], tblHDOrder[Sort], "", 0, 1)</f>
        <v>B</v>
      </c>
      <c r="D299" t="s">
        <v>1324</v>
      </c>
      <c r="E299" t="s">
        <v>1371</v>
      </c>
      <c r="F299" t="s">
        <v>1329</v>
      </c>
      <c r="G299" s="39">
        <v>80</v>
      </c>
      <c r="H299" s="39">
        <v>3.8125</v>
      </c>
      <c r="I299" s="44">
        <v>4</v>
      </c>
      <c r="J299">
        <v>350</v>
      </c>
      <c r="M299" t="s">
        <v>1320</v>
      </c>
      <c r="N299" t="s">
        <v>1413</v>
      </c>
    </row>
    <row r="300" spans="1:14" x14ac:dyDescent="0.25">
      <c r="A300" t="str">
        <f t="shared" si="11"/>
        <v>H2+B+LD_STANDARD+5in Air</v>
      </c>
      <c r="B300" t="s">
        <v>1351</v>
      </c>
      <c r="C300" t="str">
        <f>_xlfn.XLOOKUP($D300, tblHDOrder[Name], tblHDOrder[Sort], "", 0, 1)</f>
        <v>B</v>
      </c>
      <c r="D300" t="s">
        <v>1324</v>
      </c>
      <c r="E300" t="s">
        <v>1372</v>
      </c>
      <c r="F300" t="s">
        <v>1330</v>
      </c>
      <c r="G300" s="39">
        <v>80</v>
      </c>
      <c r="H300" s="39">
        <v>5.8250000000000002</v>
      </c>
      <c r="I300" s="44">
        <v>4</v>
      </c>
      <c r="J300">
        <v>350</v>
      </c>
      <c r="M300" t="s">
        <v>1402</v>
      </c>
      <c r="N300" t="s">
        <v>1411</v>
      </c>
    </row>
    <row r="301" spans="1:14" x14ac:dyDescent="0.25">
      <c r="A301" t="str">
        <f t="shared" si="11"/>
        <v>H2+B+LD_STANDARD+8in Air</v>
      </c>
      <c r="B301" t="s">
        <v>1351</v>
      </c>
      <c r="C301" t="str">
        <f>_xlfn.XLOOKUP($D301, tblHDOrder[Name], tblHDOrder[Sort], "", 0, 1)</f>
        <v>B</v>
      </c>
      <c r="D301" t="s">
        <v>1324</v>
      </c>
      <c r="E301" t="s">
        <v>1447</v>
      </c>
      <c r="F301" t="s">
        <v>1448</v>
      </c>
      <c r="G301" s="39">
        <v>80</v>
      </c>
      <c r="H301" s="39">
        <v>15.632899999999999</v>
      </c>
      <c r="I301" s="44">
        <v>4</v>
      </c>
      <c r="J301">
        <v>350</v>
      </c>
      <c r="M301" t="s">
        <v>1403</v>
      </c>
      <c r="N301" t="s">
        <v>1412</v>
      </c>
    </row>
    <row r="302" spans="1:14" x14ac:dyDescent="0.25">
      <c r="A302" t="str">
        <f t="shared" si="11"/>
        <v>H2+C+LD_NARROW+4in Air</v>
      </c>
      <c r="B302" t="s">
        <v>1351</v>
      </c>
      <c r="C302" t="str">
        <f>_xlfn.XLOOKUP($D302, tblHDOrder[Name], tblHDOrder[Sort], "", 0, 1)</f>
        <v>C</v>
      </c>
      <c r="D302" t="s">
        <v>1325</v>
      </c>
      <c r="E302" t="s">
        <v>1371</v>
      </c>
      <c r="F302" t="s">
        <v>1329</v>
      </c>
      <c r="G302" s="39">
        <v>80</v>
      </c>
      <c r="H302" s="39">
        <v>3.673</v>
      </c>
      <c r="I302" s="44">
        <v>1.5</v>
      </c>
      <c r="J302">
        <v>350</v>
      </c>
      <c r="M302" t="s">
        <v>1322</v>
      </c>
      <c r="N302" t="s">
        <v>1416</v>
      </c>
    </row>
    <row r="303" spans="1:14" x14ac:dyDescent="0.25">
      <c r="A303" t="str">
        <f t="shared" si="11"/>
        <v>H2+D+LD_MOTORIZED+4in Air</v>
      </c>
      <c r="B303" t="s">
        <v>1351</v>
      </c>
      <c r="C303" t="str">
        <f>_xlfn.XLOOKUP($D303, tblHDOrder[Name], tblHDOrder[Sort], "", 0, 1)</f>
        <v>D</v>
      </c>
      <c r="D303" t="s">
        <v>1326</v>
      </c>
      <c r="E303" t="s">
        <v>1371</v>
      </c>
      <c r="F303" t="s">
        <v>1329</v>
      </c>
      <c r="G303" s="39">
        <v>80</v>
      </c>
      <c r="H303" s="39">
        <v>3.7250000000000001</v>
      </c>
      <c r="I303" s="44">
        <v>4</v>
      </c>
      <c r="J303">
        <v>350</v>
      </c>
      <c r="M303" t="s">
        <v>1318</v>
      </c>
      <c r="N303" t="s">
        <v>1443</v>
      </c>
    </row>
    <row r="304" spans="1:14" x14ac:dyDescent="0.25">
      <c r="A304" t="str">
        <f t="shared" si="11"/>
        <v>H2+D+LD_MOTORIZED+5in Air</v>
      </c>
      <c r="B304" t="s">
        <v>1351</v>
      </c>
      <c r="C304" t="str">
        <f>_xlfn.XLOOKUP($D304, tblHDOrder[Name], tblHDOrder[Sort], "", 0, 1)</f>
        <v>D</v>
      </c>
      <c r="D304" t="s">
        <v>1326</v>
      </c>
      <c r="E304" t="s">
        <v>1372</v>
      </c>
      <c r="F304" t="s">
        <v>1330</v>
      </c>
      <c r="G304" s="39">
        <v>80</v>
      </c>
      <c r="H304" s="39">
        <v>5.8250000000000002</v>
      </c>
      <c r="I304" s="44">
        <v>4</v>
      </c>
      <c r="J304">
        <v>350</v>
      </c>
      <c r="M304" t="s">
        <v>835</v>
      </c>
      <c r="N304" t="s">
        <v>1407</v>
      </c>
    </row>
    <row r="305" spans="1:10" x14ac:dyDescent="0.25">
      <c r="A305" t="str">
        <f t="shared" si="11"/>
        <v>H2+D+LD_MOTORIZED+Hydraulic</v>
      </c>
      <c r="B305" t="s">
        <v>1351</v>
      </c>
      <c r="C305" t="str">
        <f>_xlfn.XLOOKUP($D305, tblHDOrder[Name], tblHDOrder[Sort], "", 0, 1)</f>
        <v>D</v>
      </c>
      <c r="D305" t="s">
        <v>1326</v>
      </c>
      <c r="E305" t="s">
        <v>1373</v>
      </c>
      <c r="F305" t="s">
        <v>1328</v>
      </c>
      <c r="G305" s="39">
        <v>350</v>
      </c>
      <c r="H305" s="39">
        <v>3.7250000000000001</v>
      </c>
      <c r="I305" s="44">
        <v>4</v>
      </c>
      <c r="J305">
        <v>350</v>
      </c>
    </row>
    <row r="306" spans="1:10" x14ac:dyDescent="0.25">
      <c r="A306" t="str">
        <f t="shared" si="11"/>
        <v>H3+E+SD+Air</v>
      </c>
      <c r="B306" t="s">
        <v>1353</v>
      </c>
      <c r="C306" t="str">
        <f>_xlfn.XLOOKUP($D306, tblHDOrder[Name], tblHDOrder[Sort], "", 0, 1)</f>
        <v>E</v>
      </c>
      <c r="D306" t="s">
        <v>1402</v>
      </c>
      <c r="E306" t="s">
        <v>1374</v>
      </c>
      <c r="F306" t="s">
        <v>1288</v>
      </c>
      <c r="G306" s="39">
        <v>80</v>
      </c>
      <c r="H306" s="39">
        <v>3.67</v>
      </c>
      <c r="I306" s="44">
        <v>3.5</v>
      </c>
      <c r="J306">
        <v>350</v>
      </c>
    </row>
    <row r="307" spans="1:10" x14ac:dyDescent="0.25">
      <c r="A307" t="str">
        <f t="shared" si="11"/>
        <v>H3+E+SD+Hydraulic</v>
      </c>
      <c r="B307" t="s">
        <v>1353</v>
      </c>
      <c r="C307" t="str">
        <f>_xlfn.XLOOKUP($D307, tblHDOrder[Name], tblHDOrder[Sort], "", 0, 1)</f>
        <v>E</v>
      </c>
      <c r="D307" t="s">
        <v>1402</v>
      </c>
      <c r="E307" t="s">
        <v>1373</v>
      </c>
      <c r="F307" t="s">
        <v>1328</v>
      </c>
      <c r="G307" s="39">
        <v>350</v>
      </c>
      <c r="H307" s="39">
        <v>3.67</v>
      </c>
      <c r="I307" s="44">
        <v>3.5</v>
      </c>
      <c r="J307">
        <v>350</v>
      </c>
    </row>
    <row r="308" spans="1:10" x14ac:dyDescent="0.25">
      <c r="A308" t="str">
        <f t="shared" si="11"/>
        <v>H3+F+SD_MOTORIZED+Air</v>
      </c>
      <c r="B308" t="s">
        <v>1353</v>
      </c>
      <c r="C308" t="str">
        <f>_xlfn.XLOOKUP($D308, tblHDOrder[Name], tblHDOrder[Sort], "", 0, 1)</f>
        <v>F</v>
      </c>
      <c r="D308" t="s">
        <v>1403</v>
      </c>
      <c r="E308" t="s">
        <v>1374</v>
      </c>
      <c r="F308" t="s">
        <v>1288</v>
      </c>
      <c r="G308" s="39">
        <v>80</v>
      </c>
      <c r="H308" s="39">
        <v>3.67</v>
      </c>
      <c r="I308" s="44">
        <v>4.5</v>
      </c>
      <c r="J308">
        <v>350</v>
      </c>
    </row>
    <row r="309" spans="1:10" x14ac:dyDescent="0.25">
      <c r="A309" t="str">
        <f t="shared" si="11"/>
        <v>H3+F+SD_MOTORIZED+Hydraulic</v>
      </c>
      <c r="B309" t="s">
        <v>1353</v>
      </c>
      <c r="C309" t="str">
        <f>_xlfn.XLOOKUP($D309, tblHDOrder[Name], tblHDOrder[Sort], "", 0, 1)</f>
        <v>F</v>
      </c>
      <c r="D309" t="s">
        <v>1403</v>
      </c>
      <c r="E309" t="s">
        <v>1373</v>
      </c>
      <c r="F309" t="s">
        <v>1328</v>
      </c>
      <c r="G309" s="39">
        <v>350</v>
      </c>
      <c r="H309" s="39">
        <v>3.67</v>
      </c>
      <c r="I309" s="44">
        <v>4.5</v>
      </c>
      <c r="J309">
        <v>350</v>
      </c>
    </row>
    <row r="310" spans="1:10" x14ac:dyDescent="0.25">
      <c r="A310" t="str">
        <f t="shared" si="11"/>
        <v>H3+G+MD+Hydraulic</v>
      </c>
      <c r="B310" t="s">
        <v>1353</v>
      </c>
      <c r="C310" t="str">
        <f>_xlfn.XLOOKUP($D310, tblHDOrder[Name], tblHDOrder[Sort], "", 0, 1)</f>
        <v>G</v>
      </c>
      <c r="D310" t="s">
        <v>1320</v>
      </c>
      <c r="E310" t="s">
        <v>1373</v>
      </c>
      <c r="F310" t="s">
        <v>1328</v>
      </c>
      <c r="G310" s="39">
        <v>750</v>
      </c>
      <c r="H310" s="39">
        <v>3.9666000000000001</v>
      </c>
      <c r="I310" s="44">
        <v>12.4</v>
      </c>
      <c r="J310">
        <v>750</v>
      </c>
    </row>
    <row r="311" spans="1:10" x14ac:dyDescent="0.25">
      <c r="A311" t="str">
        <f t="shared" si="11"/>
        <v>H3+H+HD_Single+Hydraulic</v>
      </c>
      <c r="B311" t="s">
        <v>1353</v>
      </c>
      <c r="C311" t="str">
        <f>_xlfn.XLOOKUP($D311, tblHDOrder[Name], tblHDOrder[Sort], "", 0, 1)</f>
        <v>H</v>
      </c>
      <c r="D311" t="s">
        <v>1419</v>
      </c>
      <c r="E311" t="s">
        <v>1373</v>
      </c>
      <c r="F311" t="s">
        <v>1328</v>
      </c>
      <c r="G311" s="39">
        <v>750</v>
      </c>
      <c r="H311" s="39">
        <v>7.2266000000000004</v>
      </c>
      <c r="I311" s="44">
        <v>11</v>
      </c>
      <c r="J311">
        <v>750</v>
      </c>
    </row>
    <row r="312" spans="1:10" x14ac:dyDescent="0.25">
      <c r="A312" t="str">
        <f t="shared" si="11"/>
        <v>H3+H+HD_Single+Hydraulic</v>
      </c>
      <c r="B312" t="s">
        <v>1353</v>
      </c>
      <c r="C312" t="str">
        <f>_xlfn.XLOOKUP($D312, tblHDOrder[Name], tblHDOrder[Sort], "", 0, 1)</f>
        <v>H</v>
      </c>
      <c r="D312" t="s">
        <v>1419</v>
      </c>
      <c r="E312" t="s">
        <v>1373</v>
      </c>
      <c r="F312" t="s">
        <v>1328</v>
      </c>
      <c r="G312" s="39">
        <v>750</v>
      </c>
      <c r="H312" s="39">
        <v>7.2266000000000004</v>
      </c>
      <c r="I312" s="44">
        <v>11</v>
      </c>
      <c r="J312">
        <v>750</v>
      </c>
    </row>
    <row r="313" spans="1:10" x14ac:dyDescent="0.25">
      <c r="A313" t="str">
        <f t="shared" si="11"/>
        <v>H3+I+HD_Dual+Hydraulic</v>
      </c>
      <c r="B313" t="s">
        <v>1353</v>
      </c>
      <c r="C313" t="str">
        <f>_xlfn.XLOOKUP($D313, tblHDOrder[Name], tblHDOrder[Sort], "", 0, 1)</f>
        <v>I</v>
      </c>
      <c r="D313" t="s">
        <v>1404</v>
      </c>
      <c r="E313" t="s">
        <v>1373</v>
      </c>
      <c r="F313" t="s">
        <v>1328</v>
      </c>
      <c r="G313" s="39">
        <v>750</v>
      </c>
      <c r="H313" s="39">
        <v>7.2266000000000004</v>
      </c>
      <c r="I313" s="44">
        <v>16.625</v>
      </c>
      <c r="J313">
        <v>750</v>
      </c>
    </row>
    <row r="314" spans="1:10" x14ac:dyDescent="0.25">
      <c r="A314" t="str">
        <f t="shared" si="11"/>
        <v>H3+I+HD_Dual+Hydraulic</v>
      </c>
      <c r="B314" t="s">
        <v>1353</v>
      </c>
      <c r="C314" t="str">
        <f>_xlfn.XLOOKUP($D314, tblHDOrder[Name], tblHDOrder[Sort], "", 0, 1)</f>
        <v>I</v>
      </c>
      <c r="D314" t="s">
        <v>1404</v>
      </c>
      <c r="E314" t="s">
        <v>1373</v>
      </c>
      <c r="F314" t="s">
        <v>1328</v>
      </c>
      <c r="G314" s="39">
        <v>750</v>
      </c>
      <c r="H314" s="39">
        <v>7.2266000000000004</v>
      </c>
      <c r="I314" s="44">
        <v>16.625</v>
      </c>
      <c r="J314">
        <v>750</v>
      </c>
    </row>
    <row r="315" spans="1:10" x14ac:dyDescent="0.25">
      <c r="A315" t="str">
        <f t="shared" si="11"/>
        <v>H3+J+XD+Hydraulic</v>
      </c>
      <c r="B315" t="s">
        <v>1353</v>
      </c>
      <c r="C315" t="str">
        <f>_xlfn.XLOOKUP($D315, tblHDOrder[Name], tblHDOrder[Sort], "", 0, 1)</f>
        <v>J</v>
      </c>
      <c r="D315" t="s">
        <v>1322</v>
      </c>
      <c r="E315" t="s">
        <v>1373</v>
      </c>
      <c r="F315" t="s">
        <v>1328</v>
      </c>
      <c r="G315" s="39">
        <v>750</v>
      </c>
      <c r="H315" s="39">
        <v>10.5093</v>
      </c>
      <c r="I315" s="44">
        <v>16.625</v>
      </c>
      <c r="J315">
        <v>750</v>
      </c>
    </row>
    <row r="316" spans="1:10" x14ac:dyDescent="0.25">
      <c r="A316" t="str">
        <f t="shared" si="11"/>
        <v>H3+K+XXD+Hydraulic</v>
      </c>
      <c r="B316" t="s">
        <v>1353</v>
      </c>
      <c r="C316" t="str">
        <f>_xlfn.XLOOKUP($D316, tblHDOrder[Name], tblHDOrder[Sort], "", 0, 1)</f>
        <v>K</v>
      </c>
      <c r="D316" t="s">
        <v>1318</v>
      </c>
      <c r="E316" t="s">
        <v>1373</v>
      </c>
      <c r="F316" t="s">
        <v>1328</v>
      </c>
      <c r="G316" s="39">
        <v>750</v>
      </c>
      <c r="H316" s="39">
        <v>23.876100000000001</v>
      </c>
      <c r="I316" s="44">
        <v>22.5</v>
      </c>
      <c r="J316">
        <v>750</v>
      </c>
    </row>
    <row r="317" spans="1:10" x14ac:dyDescent="0.25">
      <c r="A317" t="str">
        <f t="shared" si="11"/>
        <v>H4+E+SD+Air</v>
      </c>
      <c r="B317" t="s">
        <v>1354</v>
      </c>
      <c r="C317" t="str">
        <f>_xlfn.XLOOKUP($D317, tblHDOrder[Name], tblHDOrder[Sort], "", 0, 1)</f>
        <v>E</v>
      </c>
      <c r="D317" t="s">
        <v>1402</v>
      </c>
      <c r="E317" t="s">
        <v>1374</v>
      </c>
      <c r="F317" t="s">
        <v>1288</v>
      </c>
      <c r="G317" s="39">
        <v>80</v>
      </c>
      <c r="H317" s="39">
        <v>3.67</v>
      </c>
      <c r="I317" s="44">
        <v>3.5</v>
      </c>
      <c r="J317">
        <v>350</v>
      </c>
    </row>
    <row r="318" spans="1:10" x14ac:dyDescent="0.25">
      <c r="A318" t="str">
        <f t="shared" si="11"/>
        <v>H4+E+SD+Hydraulic</v>
      </c>
      <c r="B318" t="s">
        <v>1354</v>
      </c>
      <c r="C318" t="str">
        <f>_xlfn.XLOOKUP($D318, tblHDOrder[Name], tblHDOrder[Sort], "", 0, 1)</f>
        <v>E</v>
      </c>
      <c r="D318" t="s">
        <v>1402</v>
      </c>
      <c r="E318" t="s">
        <v>1373</v>
      </c>
      <c r="F318" t="s">
        <v>1328</v>
      </c>
      <c r="G318" s="39">
        <v>350</v>
      </c>
      <c r="H318" s="39">
        <v>3.67</v>
      </c>
      <c r="I318" s="44">
        <v>3.5</v>
      </c>
      <c r="J318">
        <v>350</v>
      </c>
    </row>
    <row r="319" spans="1:10" x14ac:dyDescent="0.25">
      <c r="A319" t="str">
        <f t="shared" si="11"/>
        <v>H4+F+SD_MOTORIZED+Air</v>
      </c>
      <c r="B319" t="s">
        <v>1354</v>
      </c>
      <c r="C319" t="str">
        <f>_xlfn.XLOOKUP($D319, tblHDOrder[Name], tblHDOrder[Sort], "", 0, 1)</f>
        <v>F</v>
      </c>
      <c r="D319" t="s">
        <v>1403</v>
      </c>
      <c r="E319" t="s">
        <v>1374</v>
      </c>
      <c r="F319" t="s">
        <v>1288</v>
      </c>
      <c r="G319" s="39">
        <v>80</v>
      </c>
      <c r="H319" s="39">
        <v>3.67</v>
      </c>
      <c r="I319" s="44">
        <v>4.5</v>
      </c>
      <c r="J319">
        <v>350</v>
      </c>
    </row>
    <row r="320" spans="1:10" x14ac:dyDescent="0.25">
      <c r="A320" t="str">
        <f t="shared" si="11"/>
        <v>H4+F+SD_MOTORIZED+Hydraulic</v>
      </c>
      <c r="B320" t="s">
        <v>1354</v>
      </c>
      <c r="C320" t="str">
        <f>_xlfn.XLOOKUP($D320, tblHDOrder[Name], tblHDOrder[Sort], "", 0, 1)</f>
        <v>F</v>
      </c>
      <c r="D320" t="s">
        <v>1403</v>
      </c>
      <c r="E320" t="s">
        <v>1373</v>
      </c>
      <c r="F320" t="s">
        <v>1328</v>
      </c>
      <c r="G320" s="39">
        <v>350</v>
      </c>
      <c r="H320" s="39">
        <v>3.67</v>
      </c>
      <c r="I320" s="44">
        <v>4.5</v>
      </c>
      <c r="J320">
        <v>350</v>
      </c>
    </row>
    <row r="321" spans="1:10" x14ac:dyDescent="0.25">
      <c r="A321" t="str">
        <f t="shared" si="11"/>
        <v>H4+G+MD+Hydraulic</v>
      </c>
      <c r="B321" t="s">
        <v>1354</v>
      </c>
      <c r="C321" t="str">
        <f>_xlfn.XLOOKUP($D321, tblHDOrder[Name], tblHDOrder[Sort], "", 0, 1)</f>
        <v>G</v>
      </c>
      <c r="D321" t="s">
        <v>1320</v>
      </c>
      <c r="E321" t="s">
        <v>1373</v>
      </c>
      <c r="F321" t="s">
        <v>1328</v>
      </c>
      <c r="G321" s="39">
        <v>750</v>
      </c>
      <c r="H321" s="39">
        <v>3.9666000000000001</v>
      </c>
      <c r="I321" s="44">
        <v>12.4</v>
      </c>
      <c r="J321">
        <v>750</v>
      </c>
    </row>
    <row r="322" spans="1:10" x14ac:dyDescent="0.25">
      <c r="A322" t="str">
        <f t="shared" si="11"/>
        <v>H4+H+HD_Single+Hydraulic</v>
      </c>
      <c r="B322" t="s">
        <v>1354</v>
      </c>
      <c r="C322" t="str">
        <f>_xlfn.XLOOKUP($D322, tblHDOrder[Name], tblHDOrder[Sort], "", 0, 1)</f>
        <v>H</v>
      </c>
      <c r="D322" t="s">
        <v>1419</v>
      </c>
      <c r="E322" t="s">
        <v>1373</v>
      </c>
      <c r="F322" t="s">
        <v>1328</v>
      </c>
      <c r="G322" s="39">
        <v>750</v>
      </c>
      <c r="H322" s="39">
        <v>7.2266000000000004</v>
      </c>
      <c r="I322" s="44">
        <v>11</v>
      </c>
      <c r="J322">
        <v>750</v>
      </c>
    </row>
    <row r="323" spans="1:10" x14ac:dyDescent="0.25">
      <c r="A323" t="str">
        <f t="shared" si="11"/>
        <v>H4+H+HD_Single+Hydraulic 1000</v>
      </c>
      <c r="B323" t="s">
        <v>1354</v>
      </c>
      <c r="C323" t="str">
        <f>_xlfn.XLOOKUP($D323, tblHDOrder[Name], tblHDOrder[Sort], "", 0, 1)</f>
        <v>H</v>
      </c>
      <c r="D323" t="s">
        <v>1419</v>
      </c>
      <c r="E323" t="s">
        <v>1375</v>
      </c>
      <c r="F323" t="s">
        <v>1328</v>
      </c>
      <c r="G323" s="39">
        <v>1000</v>
      </c>
      <c r="H323" s="39">
        <v>7.2266000000000004</v>
      </c>
      <c r="I323" s="44">
        <v>11</v>
      </c>
      <c r="J323">
        <v>1000</v>
      </c>
    </row>
    <row r="324" spans="1:10" x14ac:dyDescent="0.25">
      <c r="A324" t="str">
        <f t="shared" si="11"/>
        <v>H4+I+HD_Dual+Hydraulic</v>
      </c>
      <c r="B324" t="s">
        <v>1354</v>
      </c>
      <c r="C324" t="str">
        <f>_xlfn.XLOOKUP($D324, tblHDOrder[Name], tblHDOrder[Sort], "", 0, 1)</f>
        <v>I</v>
      </c>
      <c r="D324" t="s">
        <v>1404</v>
      </c>
      <c r="E324" t="s">
        <v>1373</v>
      </c>
      <c r="F324" t="s">
        <v>1328</v>
      </c>
      <c r="G324" s="39">
        <v>750</v>
      </c>
      <c r="H324" s="39">
        <v>7.2266000000000004</v>
      </c>
      <c r="I324" s="44">
        <v>16.625</v>
      </c>
      <c r="J324">
        <v>750</v>
      </c>
    </row>
    <row r="325" spans="1:10" x14ac:dyDescent="0.25">
      <c r="A325" t="str">
        <f t="shared" si="11"/>
        <v>H4+I+HD_Dual+Hydraulic 1000</v>
      </c>
      <c r="B325" t="s">
        <v>1354</v>
      </c>
      <c r="C325" t="str">
        <f>_xlfn.XLOOKUP($D325, tblHDOrder[Name], tblHDOrder[Sort], "", 0, 1)</f>
        <v>I</v>
      </c>
      <c r="D325" t="s">
        <v>1404</v>
      </c>
      <c r="E325" t="s">
        <v>1375</v>
      </c>
      <c r="F325" t="s">
        <v>1328</v>
      </c>
      <c r="G325" s="39">
        <v>1000</v>
      </c>
      <c r="H325" s="39">
        <v>7.2266000000000004</v>
      </c>
      <c r="I325" s="44">
        <v>16.625</v>
      </c>
      <c r="J325">
        <v>1000</v>
      </c>
    </row>
    <row r="326" spans="1:10" x14ac:dyDescent="0.25">
      <c r="A326" t="str">
        <f t="shared" si="11"/>
        <v>H4+J+XD+Hydraulic</v>
      </c>
      <c r="B326" t="s">
        <v>1354</v>
      </c>
      <c r="C326" t="str">
        <f>_xlfn.XLOOKUP($D326, tblHDOrder[Name], tblHDOrder[Sort], "", 0, 1)</f>
        <v>J</v>
      </c>
      <c r="D326" t="s">
        <v>1322</v>
      </c>
      <c r="E326" t="s">
        <v>1373</v>
      </c>
      <c r="F326" t="s">
        <v>1328</v>
      </c>
      <c r="G326" s="39">
        <v>750</v>
      </c>
      <c r="H326" s="39">
        <v>10.5093</v>
      </c>
      <c r="I326" s="44">
        <v>16.625</v>
      </c>
      <c r="J326">
        <v>750</v>
      </c>
    </row>
    <row r="327" spans="1:10" x14ac:dyDescent="0.25">
      <c r="A327" t="str">
        <f t="shared" si="11"/>
        <v>H4+J+XD+Hydraulic 1000</v>
      </c>
      <c r="B327" t="s">
        <v>1354</v>
      </c>
      <c r="C327" t="str">
        <f>_xlfn.XLOOKUP($D327, tblHDOrder[Name], tblHDOrder[Sort], "", 0, 1)</f>
        <v>J</v>
      </c>
      <c r="D327" t="s">
        <v>1322</v>
      </c>
      <c r="E327" t="s">
        <v>1375</v>
      </c>
      <c r="F327" t="s">
        <v>1328</v>
      </c>
      <c r="G327" s="39">
        <v>1000</v>
      </c>
      <c r="H327" s="39">
        <v>10.5093</v>
      </c>
      <c r="I327" s="44">
        <v>16.625</v>
      </c>
      <c r="J327">
        <v>1000</v>
      </c>
    </row>
    <row r="328" spans="1:10" x14ac:dyDescent="0.25">
      <c r="A328" t="str">
        <f t="shared" si="11"/>
        <v>H4+K+XXD+Hydraulic</v>
      </c>
      <c r="B328" t="s">
        <v>1354</v>
      </c>
      <c r="C328" t="str">
        <f>_xlfn.XLOOKUP($D328, tblHDOrder[Name], tblHDOrder[Sort], "", 0, 1)</f>
        <v>K</v>
      </c>
      <c r="D328" t="s">
        <v>1318</v>
      </c>
      <c r="E328" t="s">
        <v>1373</v>
      </c>
      <c r="F328" t="s">
        <v>1328</v>
      </c>
      <c r="G328" s="39">
        <v>750</v>
      </c>
      <c r="H328" s="39">
        <v>23.876100000000001</v>
      </c>
      <c r="I328" s="44">
        <v>22.5</v>
      </c>
      <c r="J328">
        <v>750</v>
      </c>
    </row>
    <row r="329" spans="1:10" x14ac:dyDescent="0.25">
      <c r="A329" t="str">
        <f t="shared" si="11"/>
        <v>H4+K+XXD+Hydraulic 1000</v>
      </c>
      <c r="B329" t="s">
        <v>1354</v>
      </c>
      <c r="C329" t="str">
        <f>_xlfn.XLOOKUP($D329, tblHDOrder[Name], tblHDOrder[Sort], "", 0, 1)</f>
        <v>K</v>
      </c>
      <c r="D329" t="s">
        <v>1318</v>
      </c>
      <c r="E329" t="s">
        <v>1375</v>
      </c>
      <c r="F329" t="s">
        <v>1328</v>
      </c>
      <c r="G329" s="39">
        <v>1000</v>
      </c>
      <c r="H329" s="39">
        <v>23.876100000000001</v>
      </c>
      <c r="I329" s="44">
        <v>22.5</v>
      </c>
      <c r="J329">
        <v>1000</v>
      </c>
    </row>
    <row r="330" spans="1:10" x14ac:dyDescent="0.25">
      <c r="A330" t="str">
        <f t="shared" si="11"/>
        <v>HX+B+LD_STANDARD+8in Air</v>
      </c>
      <c r="B330" t="s">
        <v>1405</v>
      </c>
      <c r="C330" t="str">
        <f>_xlfn.XLOOKUP($D330, tblHDOrder[Name], tblHDOrder[Sort], "", 0, 1)</f>
        <v>B</v>
      </c>
      <c r="D330" t="s">
        <v>1324</v>
      </c>
      <c r="E330" t="s">
        <v>1447</v>
      </c>
      <c r="F330" t="s">
        <v>1448</v>
      </c>
      <c r="G330" s="39">
        <v>80</v>
      </c>
      <c r="H330" s="39">
        <v>15.632899999999999</v>
      </c>
      <c r="I330" s="44">
        <v>4</v>
      </c>
      <c r="J330">
        <v>350</v>
      </c>
    </row>
    <row r="331" spans="1:10" x14ac:dyDescent="0.25">
      <c r="A331" t="str">
        <f t="shared" si="11"/>
        <v>HX+D+LD_MOTORIZED+4in Air</v>
      </c>
      <c r="B331" t="s">
        <v>1405</v>
      </c>
      <c r="C331" t="str">
        <f>_xlfn.XLOOKUP($D331, tblHDOrder[Name], tblHDOrder[Sort], "", 0, 1)</f>
        <v>D</v>
      </c>
      <c r="D331" t="s">
        <v>1326</v>
      </c>
      <c r="E331" t="s">
        <v>1371</v>
      </c>
      <c r="F331" t="s">
        <v>1329</v>
      </c>
      <c r="G331" s="39">
        <v>80</v>
      </c>
      <c r="H331" s="39">
        <v>3.7250000000000001</v>
      </c>
      <c r="I331" s="44">
        <v>4</v>
      </c>
      <c r="J331">
        <v>350</v>
      </c>
    </row>
    <row r="332" spans="1:10" x14ac:dyDescent="0.25">
      <c r="A332" t="str">
        <f t="shared" si="11"/>
        <v>HX+D+LD_MOTORIZED+5in Air</v>
      </c>
      <c r="B332" t="s">
        <v>1405</v>
      </c>
      <c r="C332" t="str">
        <f>_xlfn.XLOOKUP($D332, tblHDOrder[Name], tblHDOrder[Sort], "", 0, 1)</f>
        <v>D</v>
      </c>
      <c r="D332" t="s">
        <v>1326</v>
      </c>
      <c r="E332" t="s">
        <v>1372</v>
      </c>
      <c r="F332" t="s">
        <v>1330</v>
      </c>
      <c r="G332" s="39">
        <v>80</v>
      </c>
      <c r="H332" s="39">
        <v>5.8250000000000002</v>
      </c>
      <c r="I332" s="44">
        <v>4</v>
      </c>
      <c r="J332">
        <v>350</v>
      </c>
    </row>
    <row r="333" spans="1:10" x14ac:dyDescent="0.25">
      <c r="A333" t="str">
        <f t="shared" si="11"/>
        <v>HX+D+LD_MOTORIZED+8in Air</v>
      </c>
      <c r="B333" t="s">
        <v>1405</v>
      </c>
      <c r="C333" t="str">
        <f>_xlfn.XLOOKUP($D333, tblHDOrder[Name], tblHDOrder[Sort], "", 0, 1)</f>
        <v>D</v>
      </c>
      <c r="D333" t="s">
        <v>1326</v>
      </c>
      <c r="E333" t="s">
        <v>1447</v>
      </c>
      <c r="F333" t="s">
        <v>1448</v>
      </c>
      <c r="G333" s="39">
        <v>80</v>
      </c>
      <c r="H333" s="39">
        <v>15.317399999999999</v>
      </c>
      <c r="I333" s="44">
        <v>4</v>
      </c>
      <c r="J333">
        <v>350</v>
      </c>
    </row>
    <row r="334" spans="1:10" x14ac:dyDescent="0.25">
      <c r="G334" s="39"/>
      <c r="H334" s="44"/>
    </row>
    <row r="335" spans="1:10" x14ac:dyDescent="0.25">
      <c r="G335" s="39"/>
      <c r="H335" s="44"/>
    </row>
    <row r="336" spans="1:10" x14ac:dyDescent="0.25">
      <c r="G336" s="39"/>
      <c r="H336" s="44"/>
    </row>
    <row r="337" spans="1:8" x14ac:dyDescent="0.25">
      <c r="A337" s="23" t="s">
        <v>100</v>
      </c>
      <c r="B337" s="23" t="s">
        <v>1392</v>
      </c>
      <c r="G337" s="39"/>
      <c r="H337" s="44"/>
    </row>
    <row r="338" spans="1:8" x14ac:dyDescent="0.25">
      <c r="A338" s="23">
        <v>2</v>
      </c>
      <c r="B338" s="23">
        <v>7.8E-2</v>
      </c>
      <c r="G338" s="39"/>
      <c r="H338" s="44"/>
    </row>
    <row r="339" spans="1:8" x14ac:dyDescent="0.25">
      <c r="A339" s="23">
        <v>3</v>
      </c>
      <c r="B339" s="23">
        <v>0.112</v>
      </c>
      <c r="G339" s="39"/>
      <c r="H339" s="44"/>
    </row>
    <row r="340" spans="1:8" x14ac:dyDescent="0.25">
      <c r="A340" s="23">
        <v>5</v>
      </c>
      <c r="B340" s="23">
        <v>0.14199999999999999</v>
      </c>
      <c r="G340" s="39"/>
      <c r="H340" s="44"/>
    </row>
    <row r="341" spans="1:8" x14ac:dyDescent="0.25">
      <c r="A341" s="23">
        <v>7.5</v>
      </c>
      <c r="B341" s="23">
        <v>0.32</v>
      </c>
      <c r="G341" s="39"/>
      <c r="H341" s="44"/>
    </row>
    <row r="342" spans="1:8" x14ac:dyDescent="0.25">
      <c r="A342" s="23">
        <v>10</v>
      </c>
      <c r="B342" s="23">
        <v>0.44</v>
      </c>
      <c r="G342" s="39"/>
      <c r="H342" s="44"/>
    </row>
    <row r="343" spans="1:8" x14ac:dyDescent="0.25">
      <c r="A343" s="23">
        <v>15</v>
      </c>
      <c r="B343" s="23">
        <v>0.68600000000000005</v>
      </c>
      <c r="G343" s="39"/>
      <c r="H343" s="44"/>
    </row>
    <row r="344" spans="1:8" x14ac:dyDescent="0.25">
      <c r="A344" s="23">
        <v>20</v>
      </c>
      <c r="B344" s="23">
        <v>0.84599999999999997</v>
      </c>
      <c r="G344" s="39"/>
      <c r="H344" s="44"/>
    </row>
    <row r="345" spans="1:8" x14ac:dyDescent="0.25">
      <c r="A345" s="23">
        <v>30</v>
      </c>
      <c r="B345" s="23">
        <v>1.778</v>
      </c>
      <c r="G345" s="39"/>
      <c r="H345" s="44"/>
    </row>
    <row r="346" spans="1:8" x14ac:dyDescent="0.25">
      <c r="A346" s="23">
        <v>40</v>
      </c>
      <c r="B346" s="23">
        <v>3.1789999999999998</v>
      </c>
      <c r="G346" s="39"/>
      <c r="H346" s="44"/>
    </row>
    <row r="347" spans="1:8" x14ac:dyDescent="0.25">
      <c r="A347" s="23">
        <v>50</v>
      </c>
      <c r="B347" s="23">
        <v>3.8759999999999999</v>
      </c>
      <c r="G347" s="39"/>
      <c r="H347" s="44"/>
    </row>
    <row r="348" spans="1:8" x14ac:dyDescent="0.25">
      <c r="A348" s="23">
        <v>60</v>
      </c>
      <c r="B348" s="23">
        <v>5.3769999999999998</v>
      </c>
      <c r="G348" s="39"/>
      <c r="H348" s="44"/>
    </row>
    <row r="349" spans="1:8" x14ac:dyDescent="0.25">
      <c r="A349" s="23">
        <v>75</v>
      </c>
      <c r="B349" s="23">
        <v>5.8550000000000004</v>
      </c>
      <c r="G349" s="39"/>
      <c r="H349" s="44"/>
    </row>
    <row r="354" spans="1:15" x14ac:dyDescent="0.25">
      <c r="A354" s="23" t="s">
        <v>160</v>
      </c>
      <c r="B354" s="23" t="s">
        <v>447</v>
      </c>
      <c r="E354" s="23" t="s">
        <v>160</v>
      </c>
      <c r="F354" s="23" t="s">
        <v>100</v>
      </c>
      <c r="G354" s="23" t="s">
        <v>1392</v>
      </c>
      <c r="M354" t="s">
        <v>160</v>
      </c>
      <c r="N354" t="s">
        <v>1431</v>
      </c>
      <c r="O354" t="s">
        <v>448</v>
      </c>
    </row>
    <row r="355" spans="1:15" x14ac:dyDescent="0.25">
      <c r="A355" s="532" t="s">
        <v>1244</v>
      </c>
      <c r="B355" s="23">
        <v>12</v>
      </c>
      <c r="E355" s="23" t="s">
        <v>1244</v>
      </c>
      <c r="F355" s="23">
        <v>2</v>
      </c>
      <c r="G355" s="23">
        <v>7.8E-2</v>
      </c>
      <c r="M355" t="s">
        <v>1244</v>
      </c>
      <c r="N355">
        <v>23</v>
      </c>
      <c r="O355">
        <v>0.625</v>
      </c>
    </row>
    <row r="356" spans="1:15" x14ac:dyDescent="0.25">
      <c r="A356" s="532" t="s">
        <v>1244</v>
      </c>
      <c r="B356" s="23">
        <v>18</v>
      </c>
      <c r="E356" s="23" t="s">
        <v>1244</v>
      </c>
      <c r="F356" s="23">
        <v>3</v>
      </c>
      <c r="G356" s="23">
        <v>7.8E-2</v>
      </c>
      <c r="M356" t="s">
        <v>1245</v>
      </c>
      <c r="N356">
        <v>23</v>
      </c>
      <c r="O356">
        <v>1</v>
      </c>
    </row>
    <row r="357" spans="1:15" x14ac:dyDescent="0.25">
      <c r="A357" s="532" t="s">
        <v>1244</v>
      </c>
      <c r="B357" s="23">
        <v>24</v>
      </c>
      <c r="E357" s="23" t="s">
        <v>1245</v>
      </c>
      <c r="F357" s="23">
        <v>2</v>
      </c>
      <c r="G357" s="23">
        <v>7.8E-2</v>
      </c>
      <c r="M357" t="s">
        <v>1246</v>
      </c>
      <c r="N357">
        <v>23</v>
      </c>
      <c r="O357">
        <v>1</v>
      </c>
    </row>
    <row r="358" spans="1:15" x14ac:dyDescent="0.25">
      <c r="A358" s="532" t="s">
        <v>1244</v>
      </c>
      <c r="B358" s="23">
        <v>30</v>
      </c>
      <c r="E358" s="23" t="s">
        <v>1245</v>
      </c>
      <c r="F358" s="23">
        <v>3</v>
      </c>
      <c r="G358" s="23">
        <v>7.8E-2</v>
      </c>
      <c r="M358" t="s">
        <v>42</v>
      </c>
      <c r="N358">
        <v>27</v>
      </c>
      <c r="O358">
        <v>1.5</v>
      </c>
    </row>
    <row r="359" spans="1:15" x14ac:dyDescent="0.25">
      <c r="A359" s="532" t="s">
        <v>1244</v>
      </c>
      <c r="B359" s="23">
        <v>36</v>
      </c>
      <c r="E359" s="23" t="s">
        <v>1246</v>
      </c>
      <c r="F359" s="23">
        <v>2</v>
      </c>
      <c r="G359" s="23">
        <v>7.8E-2</v>
      </c>
      <c r="M359" t="s">
        <v>42</v>
      </c>
      <c r="N359">
        <v>72</v>
      </c>
      <c r="O359">
        <v>1.5</v>
      </c>
    </row>
    <row r="360" spans="1:15" x14ac:dyDescent="0.25">
      <c r="A360" s="532" t="s">
        <v>1245</v>
      </c>
      <c r="B360" s="23">
        <v>18</v>
      </c>
      <c r="E360" s="23" t="s">
        <v>1246</v>
      </c>
      <c r="F360" s="23">
        <v>3</v>
      </c>
      <c r="G360" s="23">
        <v>7.8E-2</v>
      </c>
      <c r="M360" t="s">
        <v>48</v>
      </c>
      <c r="N360">
        <v>27</v>
      </c>
      <c r="O360">
        <v>1.5</v>
      </c>
    </row>
    <row r="361" spans="1:15" x14ac:dyDescent="0.25">
      <c r="A361" s="532" t="s">
        <v>1245</v>
      </c>
      <c r="B361" s="23">
        <v>24</v>
      </c>
      <c r="E361" s="23" t="s">
        <v>42</v>
      </c>
      <c r="F361" s="23">
        <v>5</v>
      </c>
      <c r="G361" s="23">
        <v>0.14199999999999999</v>
      </c>
      <c r="M361" t="s">
        <v>48</v>
      </c>
      <c r="N361">
        <v>72</v>
      </c>
      <c r="O361">
        <v>1.5</v>
      </c>
    </row>
    <row r="362" spans="1:15" x14ac:dyDescent="0.25">
      <c r="A362" s="532" t="s">
        <v>1245</v>
      </c>
      <c r="B362" s="23">
        <v>30</v>
      </c>
      <c r="E362" s="23" t="s">
        <v>42</v>
      </c>
      <c r="F362" s="23">
        <v>7.5</v>
      </c>
      <c r="G362" s="23">
        <v>0.32</v>
      </c>
      <c r="M362" t="s">
        <v>43</v>
      </c>
      <c r="N362">
        <v>27</v>
      </c>
      <c r="O362">
        <v>1.5</v>
      </c>
    </row>
    <row r="363" spans="1:15" x14ac:dyDescent="0.25">
      <c r="A363" s="532" t="s">
        <v>1245</v>
      </c>
      <c r="B363" s="23">
        <v>36</v>
      </c>
      <c r="E363" s="23" t="s">
        <v>42</v>
      </c>
      <c r="F363" s="23">
        <v>10</v>
      </c>
      <c r="G363" s="23">
        <v>0.44</v>
      </c>
      <c r="M363" t="s">
        <v>43</v>
      </c>
      <c r="N363">
        <v>72</v>
      </c>
      <c r="O363">
        <v>1.5</v>
      </c>
    </row>
    <row r="364" spans="1:15" x14ac:dyDescent="0.25">
      <c r="A364" s="532" t="s">
        <v>1246</v>
      </c>
      <c r="B364" s="23">
        <v>18</v>
      </c>
      <c r="E364" s="23" t="s">
        <v>42</v>
      </c>
      <c r="F364" s="23">
        <v>15</v>
      </c>
      <c r="G364" s="23">
        <v>0.68600000000000005</v>
      </c>
      <c r="M364" t="s">
        <v>44</v>
      </c>
      <c r="N364">
        <v>27</v>
      </c>
      <c r="O364">
        <v>1.5</v>
      </c>
    </row>
    <row r="365" spans="1:15" x14ac:dyDescent="0.25">
      <c r="A365" s="532" t="s">
        <v>1246</v>
      </c>
      <c r="B365" s="23">
        <v>24</v>
      </c>
      <c r="E365" s="23" t="s">
        <v>42</v>
      </c>
      <c r="F365" s="23">
        <v>20</v>
      </c>
      <c r="G365" s="23">
        <v>0.84599999999999997</v>
      </c>
      <c r="M365" t="s">
        <v>44</v>
      </c>
      <c r="N365">
        <v>72</v>
      </c>
      <c r="O365">
        <v>1.5</v>
      </c>
    </row>
    <row r="366" spans="1:15" x14ac:dyDescent="0.25">
      <c r="A366" s="532" t="s">
        <v>1246</v>
      </c>
      <c r="B366" s="23">
        <v>30</v>
      </c>
      <c r="E366" s="23" t="s">
        <v>48</v>
      </c>
      <c r="F366" s="23">
        <v>5</v>
      </c>
      <c r="G366" s="23">
        <v>0.14199999999999999</v>
      </c>
      <c r="M366" t="s">
        <v>45</v>
      </c>
      <c r="N366">
        <v>27</v>
      </c>
      <c r="O366">
        <v>1.5</v>
      </c>
    </row>
    <row r="367" spans="1:15" x14ac:dyDescent="0.25">
      <c r="A367" s="532" t="s">
        <v>1246</v>
      </c>
      <c r="B367" s="23">
        <v>36</v>
      </c>
      <c r="E367" s="23" t="s">
        <v>48</v>
      </c>
      <c r="F367" s="23">
        <v>7.5</v>
      </c>
      <c r="G367" s="23">
        <v>0.32</v>
      </c>
      <c r="M367" t="s">
        <v>45</v>
      </c>
      <c r="N367">
        <v>72</v>
      </c>
      <c r="O367">
        <v>1.5</v>
      </c>
    </row>
    <row r="368" spans="1:15" x14ac:dyDescent="0.25">
      <c r="A368" s="532" t="s">
        <v>42</v>
      </c>
      <c r="B368" s="23">
        <v>24</v>
      </c>
      <c r="E368" s="23" t="s">
        <v>48</v>
      </c>
      <c r="F368" s="23">
        <v>10</v>
      </c>
      <c r="G368" s="23">
        <v>0.44</v>
      </c>
      <c r="M368" t="s">
        <v>46</v>
      </c>
      <c r="N368">
        <v>27</v>
      </c>
      <c r="O368">
        <v>1.5</v>
      </c>
    </row>
    <row r="369" spans="1:15" x14ac:dyDescent="0.25">
      <c r="A369" s="532" t="s">
        <v>42</v>
      </c>
      <c r="B369" s="23">
        <v>30</v>
      </c>
      <c r="E369" s="23" t="s">
        <v>48</v>
      </c>
      <c r="F369" s="23">
        <v>15</v>
      </c>
      <c r="G369" s="23">
        <v>0.68600000000000005</v>
      </c>
      <c r="M369" t="s">
        <v>46</v>
      </c>
      <c r="N369">
        <v>72</v>
      </c>
      <c r="O369">
        <v>1.5</v>
      </c>
    </row>
    <row r="370" spans="1:15" x14ac:dyDescent="0.25">
      <c r="A370" s="532" t="s">
        <v>42</v>
      </c>
      <c r="B370" s="23">
        <v>36</v>
      </c>
      <c r="E370" s="23" t="s">
        <v>48</v>
      </c>
      <c r="F370" s="23">
        <v>20</v>
      </c>
      <c r="G370" s="23">
        <v>0.84599999999999997</v>
      </c>
      <c r="M370" t="s">
        <v>47</v>
      </c>
      <c r="N370">
        <v>27</v>
      </c>
      <c r="O370">
        <v>1.5</v>
      </c>
    </row>
    <row r="371" spans="1:15" x14ac:dyDescent="0.25">
      <c r="A371" s="532" t="s">
        <v>42</v>
      </c>
      <c r="B371" s="23">
        <v>42</v>
      </c>
      <c r="E371" s="23" t="s">
        <v>43</v>
      </c>
      <c r="F371" s="23">
        <v>5</v>
      </c>
      <c r="G371" s="23">
        <v>0.14199999999999999</v>
      </c>
      <c r="M371" t="s">
        <v>47</v>
      </c>
      <c r="N371">
        <v>72</v>
      </c>
      <c r="O371">
        <v>1.5</v>
      </c>
    </row>
    <row r="372" spans="1:15" x14ac:dyDescent="0.25">
      <c r="A372" s="532" t="s">
        <v>42</v>
      </c>
      <c r="B372" s="23">
        <v>48</v>
      </c>
      <c r="E372" s="23" t="s">
        <v>43</v>
      </c>
      <c r="F372" s="23">
        <v>7.5</v>
      </c>
      <c r="G372" s="23">
        <v>0.32</v>
      </c>
    </row>
    <row r="373" spans="1:15" x14ac:dyDescent="0.25">
      <c r="A373" s="532" t="s">
        <v>42</v>
      </c>
      <c r="B373" s="23">
        <v>54</v>
      </c>
      <c r="E373" s="23" t="s">
        <v>43</v>
      </c>
      <c r="F373" s="23">
        <v>10</v>
      </c>
      <c r="G373" s="23">
        <v>0.44</v>
      </c>
    </row>
    <row r="374" spans="1:15" x14ac:dyDescent="0.25">
      <c r="A374" s="532" t="s">
        <v>42</v>
      </c>
      <c r="B374" s="23">
        <v>60</v>
      </c>
      <c r="E374" s="23" t="s">
        <v>43</v>
      </c>
      <c r="F374" s="23">
        <v>15</v>
      </c>
      <c r="G374" s="23">
        <v>0.68600000000000005</v>
      </c>
    </row>
    <row r="375" spans="1:15" x14ac:dyDescent="0.25">
      <c r="A375" s="532" t="s">
        <v>48</v>
      </c>
      <c r="B375" s="23">
        <v>24</v>
      </c>
      <c r="E375" s="23" t="s">
        <v>43</v>
      </c>
      <c r="F375" s="23">
        <v>20</v>
      </c>
      <c r="G375" s="23">
        <v>0.84599999999999997</v>
      </c>
    </row>
    <row r="376" spans="1:15" x14ac:dyDescent="0.25">
      <c r="A376" s="532" t="s">
        <v>48</v>
      </c>
      <c r="B376" s="23">
        <v>30</v>
      </c>
      <c r="E376" s="23" t="s">
        <v>44</v>
      </c>
      <c r="F376" s="23">
        <v>5</v>
      </c>
      <c r="G376" s="23">
        <v>0.14199999999999999</v>
      </c>
    </row>
    <row r="377" spans="1:15" x14ac:dyDescent="0.25">
      <c r="A377" s="532" t="s">
        <v>48</v>
      </c>
      <c r="B377" s="23">
        <v>36</v>
      </c>
      <c r="E377" s="23" t="s">
        <v>44</v>
      </c>
      <c r="F377" s="23">
        <v>7.5</v>
      </c>
      <c r="G377" s="23">
        <v>0.32</v>
      </c>
    </row>
    <row r="378" spans="1:15" x14ac:dyDescent="0.25">
      <c r="A378" s="532" t="s">
        <v>48</v>
      </c>
      <c r="B378" s="23">
        <v>42</v>
      </c>
      <c r="E378" s="23" t="s">
        <v>44</v>
      </c>
      <c r="F378" s="23">
        <v>10</v>
      </c>
      <c r="G378" s="23">
        <v>0.44</v>
      </c>
    </row>
    <row r="379" spans="1:15" x14ac:dyDescent="0.25">
      <c r="A379" s="532" t="s">
        <v>48</v>
      </c>
      <c r="B379" s="23">
        <v>48</v>
      </c>
      <c r="E379" s="23" t="s">
        <v>44</v>
      </c>
      <c r="F379" s="23">
        <v>15</v>
      </c>
      <c r="G379" s="23">
        <v>0.68600000000000005</v>
      </c>
    </row>
    <row r="380" spans="1:15" x14ac:dyDescent="0.25">
      <c r="A380" s="532" t="s">
        <v>48</v>
      </c>
      <c r="B380" s="23">
        <v>54</v>
      </c>
      <c r="E380" s="23" t="s">
        <v>44</v>
      </c>
      <c r="F380" s="23">
        <v>20</v>
      </c>
      <c r="G380" s="23">
        <v>0.84599999999999997</v>
      </c>
    </row>
    <row r="381" spans="1:15" x14ac:dyDescent="0.25">
      <c r="A381" s="532" t="s">
        <v>48</v>
      </c>
      <c r="B381" s="23">
        <v>60</v>
      </c>
      <c r="E381" s="23" t="s">
        <v>45</v>
      </c>
      <c r="F381" s="23">
        <v>30</v>
      </c>
      <c r="G381" s="23">
        <v>1.778</v>
      </c>
    </row>
    <row r="382" spans="1:15" x14ac:dyDescent="0.25">
      <c r="A382" s="532" t="s">
        <v>43</v>
      </c>
      <c r="B382" s="23">
        <v>24</v>
      </c>
      <c r="E382" s="23" t="s">
        <v>45</v>
      </c>
      <c r="F382" s="23">
        <v>40</v>
      </c>
      <c r="G382" s="23">
        <v>3.1789999999999998</v>
      </c>
    </row>
    <row r="383" spans="1:15" x14ac:dyDescent="0.25">
      <c r="A383" s="532" t="s">
        <v>43</v>
      </c>
      <c r="B383" s="23">
        <v>30</v>
      </c>
      <c r="E383" s="23" t="s">
        <v>45</v>
      </c>
      <c r="F383" s="23">
        <v>50</v>
      </c>
      <c r="G383" s="23">
        <v>3.8759999999999999</v>
      </c>
    </row>
    <row r="384" spans="1:15" x14ac:dyDescent="0.25">
      <c r="A384" s="532" t="s">
        <v>43</v>
      </c>
      <c r="B384" s="23">
        <v>36</v>
      </c>
      <c r="E384" s="23" t="s">
        <v>45</v>
      </c>
      <c r="F384" s="23">
        <v>60</v>
      </c>
      <c r="G384" s="23">
        <v>5.3769999999999998</v>
      </c>
    </row>
    <row r="385" spans="1:7" x14ac:dyDescent="0.25">
      <c r="A385" s="532" t="s">
        <v>43</v>
      </c>
      <c r="B385" s="23">
        <v>42</v>
      </c>
      <c r="E385" s="23" t="s">
        <v>45</v>
      </c>
      <c r="F385" s="23">
        <v>75</v>
      </c>
      <c r="G385" s="23">
        <v>5.8550000000000004</v>
      </c>
    </row>
    <row r="386" spans="1:7" x14ac:dyDescent="0.25">
      <c r="A386" s="532" t="s">
        <v>43</v>
      </c>
      <c r="B386" s="23">
        <v>48</v>
      </c>
      <c r="E386" s="23" t="s">
        <v>46</v>
      </c>
      <c r="F386" s="23">
        <v>30</v>
      </c>
      <c r="G386" s="23">
        <v>1.778</v>
      </c>
    </row>
    <row r="387" spans="1:7" x14ac:dyDescent="0.25">
      <c r="A387" s="532" t="s">
        <v>43</v>
      </c>
      <c r="B387" s="23">
        <v>54</v>
      </c>
      <c r="E387" s="23" t="s">
        <v>46</v>
      </c>
      <c r="F387" s="23">
        <v>40</v>
      </c>
      <c r="G387" s="23">
        <v>3.1789999999999998</v>
      </c>
    </row>
    <row r="388" spans="1:7" x14ac:dyDescent="0.25">
      <c r="A388" s="532" t="s">
        <v>43</v>
      </c>
      <c r="B388" s="23">
        <v>60</v>
      </c>
      <c r="E388" s="23" t="s">
        <v>46</v>
      </c>
      <c r="F388" s="23">
        <v>50</v>
      </c>
      <c r="G388" s="23">
        <v>3.8759999999999999</v>
      </c>
    </row>
    <row r="389" spans="1:7" x14ac:dyDescent="0.25">
      <c r="A389" s="532" t="s">
        <v>43</v>
      </c>
      <c r="B389" s="23">
        <v>66</v>
      </c>
      <c r="E389" s="23" t="s">
        <v>46</v>
      </c>
      <c r="F389" s="23">
        <v>60</v>
      </c>
      <c r="G389" s="23">
        <v>5.3769999999999998</v>
      </c>
    </row>
    <row r="390" spans="1:7" x14ac:dyDescent="0.25">
      <c r="A390" s="532" t="s">
        <v>43</v>
      </c>
      <c r="B390" s="23">
        <v>72</v>
      </c>
      <c r="E390" s="23" t="s">
        <v>46</v>
      </c>
      <c r="F390" s="23">
        <v>75</v>
      </c>
      <c r="G390" s="23">
        <v>5.8550000000000004</v>
      </c>
    </row>
    <row r="391" spans="1:7" x14ac:dyDescent="0.25">
      <c r="A391" s="532" t="s">
        <v>44</v>
      </c>
      <c r="B391" s="23">
        <v>30</v>
      </c>
      <c r="E391" s="23" t="s">
        <v>47</v>
      </c>
      <c r="F391" s="23">
        <v>30</v>
      </c>
      <c r="G391" s="23">
        <v>1.778</v>
      </c>
    </row>
    <row r="392" spans="1:7" x14ac:dyDescent="0.25">
      <c r="A392" s="532" t="s">
        <v>44</v>
      </c>
      <c r="B392" s="23">
        <v>36</v>
      </c>
      <c r="E392" s="23" t="s">
        <v>47</v>
      </c>
      <c r="F392" s="23">
        <v>40</v>
      </c>
      <c r="G392" s="23">
        <v>3.1789999999999998</v>
      </c>
    </row>
    <row r="393" spans="1:7" x14ac:dyDescent="0.25">
      <c r="A393" s="532" t="s">
        <v>44</v>
      </c>
      <c r="B393" s="23">
        <v>42</v>
      </c>
      <c r="E393" s="23" t="s">
        <v>47</v>
      </c>
      <c r="F393" s="23">
        <v>50</v>
      </c>
      <c r="G393" s="23">
        <v>3.8759999999999999</v>
      </c>
    </row>
    <row r="394" spans="1:7" x14ac:dyDescent="0.25">
      <c r="A394" s="532" t="s">
        <v>44</v>
      </c>
      <c r="B394" s="23">
        <v>48</v>
      </c>
      <c r="E394" s="23" t="s">
        <v>47</v>
      </c>
      <c r="F394" s="23">
        <v>60</v>
      </c>
      <c r="G394" s="23">
        <v>5.3769999999999998</v>
      </c>
    </row>
    <row r="395" spans="1:7" x14ac:dyDescent="0.25">
      <c r="A395" s="532" t="s">
        <v>44</v>
      </c>
      <c r="B395" s="23">
        <v>54</v>
      </c>
      <c r="E395" s="23" t="s">
        <v>47</v>
      </c>
      <c r="F395" s="23">
        <v>75</v>
      </c>
      <c r="G395" s="23">
        <v>5.8550000000000004</v>
      </c>
    </row>
    <row r="396" spans="1:7" x14ac:dyDescent="0.25">
      <c r="A396" s="532" t="s">
        <v>44</v>
      </c>
      <c r="B396" s="23">
        <v>60</v>
      </c>
      <c r="E396" s="23"/>
      <c r="F396" s="23"/>
      <c r="G396" s="23"/>
    </row>
    <row r="397" spans="1:7" x14ac:dyDescent="0.25">
      <c r="A397" s="532" t="s">
        <v>44</v>
      </c>
      <c r="B397" s="23">
        <v>66</v>
      </c>
      <c r="E397" s="23"/>
      <c r="F397" s="23"/>
      <c r="G397" s="23"/>
    </row>
    <row r="398" spans="1:7" x14ac:dyDescent="0.25">
      <c r="A398" s="532" t="s">
        <v>44</v>
      </c>
      <c r="B398" s="23">
        <v>72</v>
      </c>
      <c r="E398" s="23"/>
      <c r="F398" s="23"/>
      <c r="G398" s="23"/>
    </row>
    <row r="399" spans="1:7" x14ac:dyDescent="0.25">
      <c r="A399" s="532" t="s">
        <v>45</v>
      </c>
      <c r="B399" s="23">
        <v>36</v>
      </c>
      <c r="E399" s="23"/>
      <c r="F399" s="23"/>
      <c r="G399" s="23"/>
    </row>
    <row r="400" spans="1:7" x14ac:dyDescent="0.25">
      <c r="A400" s="532" t="s">
        <v>45</v>
      </c>
      <c r="B400" s="23">
        <v>42</v>
      </c>
      <c r="E400" s="23"/>
      <c r="F400" s="23"/>
      <c r="G400" s="23"/>
    </row>
    <row r="401" spans="1:7" x14ac:dyDescent="0.25">
      <c r="A401" s="532" t="s">
        <v>45</v>
      </c>
      <c r="B401" s="23">
        <v>48</v>
      </c>
      <c r="E401" s="23"/>
      <c r="F401" s="23"/>
      <c r="G401" s="23"/>
    </row>
    <row r="402" spans="1:7" x14ac:dyDescent="0.25">
      <c r="A402" s="532" t="s">
        <v>45</v>
      </c>
      <c r="B402" s="23">
        <v>54</v>
      </c>
      <c r="E402" s="23"/>
      <c r="F402" s="23"/>
      <c r="G402" s="23"/>
    </row>
    <row r="403" spans="1:7" x14ac:dyDescent="0.25">
      <c r="A403" s="532" t="s">
        <v>45</v>
      </c>
      <c r="B403" s="23">
        <v>60</v>
      </c>
      <c r="E403" s="23"/>
      <c r="F403" s="23"/>
      <c r="G403" s="23"/>
    </row>
    <row r="404" spans="1:7" x14ac:dyDescent="0.25">
      <c r="A404" s="532" t="s">
        <v>45</v>
      </c>
      <c r="B404" s="23">
        <v>66</v>
      </c>
      <c r="E404" s="23"/>
      <c r="F404" s="23"/>
      <c r="G404" s="23"/>
    </row>
    <row r="405" spans="1:7" x14ac:dyDescent="0.25">
      <c r="A405" s="532" t="s">
        <v>45</v>
      </c>
      <c r="B405" s="23">
        <v>72</v>
      </c>
      <c r="E405" s="23"/>
      <c r="F405" s="23"/>
      <c r="G405" s="23"/>
    </row>
    <row r="406" spans="1:7" x14ac:dyDescent="0.25">
      <c r="A406" s="532" t="s">
        <v>46</v>
      </c>
      <c r="B406" s="23">
        <v>42</v>
      </c>
      <c r="E406" s="23"/>
      <c r="F406" s="23"/>
      <c r="G406" s="23"/>
    </row>
    <row r="407" spans="1:7" x14ac:dyDescent="0.25">
      <c r="A407" s="532" t="s">
        <v>46</v>
      </c>
      <c r="B407" s="23">
        <v>48</v>
      </c>
      <c r="E407" s="23"/>
      <c r="F407" s="23"/>
      <c r="G407" s="23"/>
    </row>
    <row r="408" spans="1:7" x14ac:dyDescent="0.25">
      <c r="A408" s="532" t="s">
        <v>46</v>
      </c>
      <c r="B408" s="23">
        <v>54</v>
      </c>
      <c r="E408" s="23"/>
      <c r="F408" s="23"/>
      <c r="G408" s="23"/>
    </row>
    <row r="409" spans="1:7" x14ac:dyDescent="0.25">
      <c r="A409" s="532" t="s">
        <v>46</v>
      </c>
      <c r="B409" s="23">
        <v>60</v>
      </c>
      <c r="E409" s="23"/>
      <c r="F409" s="23"/>
      <c r="G409" s="23"/>
    </row>
    <row r="410" spans="1:7" x14ac:dyDescent="0.25">
      <c r="A410" s="532" t="s">
        <v>46</v>
      </c>
      <c r="B410" s="23">
        <v>66</v>
      </c>
      <c r="E410" s="23"/>
      <c r="F410" s="23"/>
      <c r="G410" s="23"/>
    </row>
    <row r="411" spans="1:7" x14ac:dyDescent="0.25">
      <c r="A411" s="532" t="s">
        <v>46</v>
      </c>
      <c r="B411" s="23">
        <v>72</v>
      </c>
      <c r="E411" s="23"/>
      <c r="F411" s="23"/>
      <c r="G411" s="23"/>
    </row>
    <row r="412" spans="1:7" x14ac:dyDescent="0.25">
      <c r="A412" s="532" t="s">
        <v>46</v>
      </c>
      <c r="B412" s="23">
        <v>78</v>
      </c>
      <c r="E412" s="23"/>
      <c r="F412" s="23"/>
      <c r="G412" s="23"/>
    </row>
    <row r="413" spans="1:7" x14ac:dyDescent="0.25">
      <c r="A413" s="532" t="s">
        <v>47</v>
      </c>
      <c r="B413" s="23">
        <v>48</v>
      </c>
      <c r="E413" s="23"/>
      <c r="F413" s="23"/>
      <c r="G413" s="23"/>
    </row>
    <row r="414" spans="1:7" x14ac:dyDescent="0.25">
      <c r="A414" s="532" t="s">
        <v>47</v>
      </c>
      <c r="B414" s="23">
        <v>54</v>
      </c>
      <c r="E414" s="23"/>
      <c r="F414" s="23"/>
      <c r="G414" s="23"/>
    </row>
    <row r="415" spans="1:7" x14ac:dyDescent="0.25">
      <c r="A415" s="532" t="s">
        <v>47</v>
      </c>
      <c r="B415" s="23">
        <v>60</v>
      </c>
      <c r="E415" s="23"/>
      <c r="F415" s="23"/>
      <c r="G415" s="23"/>
    </row>
    <row r="416" spans="1:7" x14ac:dyDescent="0.25">
      <c r="A416" s="532" t="s">
        <v>47</v>
      </c>
      <c r="B416" s="23">
        <v>66</v>
      </c>
      <c r="E416" s="23"/>
      <c r="F416" s="23"/>
      <c r="G416" s="23"/>
    </row>
    <row r="417" spans="1:17" x14ac:dyDescent="0.25">
      <c r="A417" s="532" t="s">
        <v>47</v>
      </c>
      <c r="B417" s="23">
        <v>72</v>
      </c>
      <c r="E417" s="23"/>
      <c r="F417" s="23"/>
      <c r="G417" s="23"/>
    </row>
    <row r="418" spans="1:17" x14ac:dyDescent="0.25">
      <c r="A418" s="532" t="s">
        <v>47</v>
      </c>
      <c r="B418" s="23">
        <v>78</v>
      </c>
      <c r="E418" s="23"/>
      <c r="F418" s="23"/>
      <c r="G418" s="23"/>
    </row>
    <row r="419" spans="1:17" x14ac:dyDescent="0.25">
      <c r="E419" s="23"/>
      <c r="F419" s="23"/>
      <c r="G419" s="23"/>
    </row>
    <row r="420" spans="1:17" x14ac:dyDescent="0.25">
      <c r="E420" s="23"/>
      <c r="F420" s="23"/>
      <c r="G420" s="23"/>
    </row>
    <row r="421" spans="1:17" x14ac:dyDescent="0.25">
      <c r="E421" s="23"/>
      <c r="F421" s="23"/>
      <c r="G421" s="23"/>
    </row>
    <row r="422" spans="1:17" x14ac:dyDescent="0.25">
      <c r="E422" s="23"/>
      <c r="F422" s="23"/>
      <c r="G422" s="23"/>
    </row>
    <row r="423" spans="1:17" x14ac:dyDescent="0.25">
      <c r="A423" t="s">
        <v>1379</v>
      </c>
    </row>
    <row r="424" spans="1:17" x14ac:dyDescent="0.25">
      <c r="A424" t="s">
        <v>160</v>
      </c>
      <c r="B424" t="s">
        <v>1382</v>
      </c>
    </row>
    <row r="425" spans="1:17" x14ac:dyDescent="0.25">
      <c r="A425" t="s">
        <v>492</v>
      </c>
      <c r="B425">
        <v>80</v>
      </c>
    </row>
    <row r="426" spans="1:17" x14ac:dyDescent="0.25">
      <c r="A426" t="s">
        <v>495</v>
      </c>
      <c r="B426">
        <v>80</v>
      </c>
    </row>
    <row r="427" spans="1:17" x14ac:dyDescent="0.25">
      <c r="A427" t="s">
        <v>496</v>
      </c>
      <c r="B427">
        <v>60</v>
      </c>
      <c r="D427" s="714" t="s">
        <v>1379</v>
      </c>
      <c r="E427" s="714"/>
      <c r="G427" t="s">
        <v>1380</v>
      </c>
      <c r="J427" s="714" t="s">
        <v>1388</v>
      </c>
      <c r="K427" s="714"/>
      <c r="M427" t="s">
        <v>1381</v>
      </c>
      <c r="P427" s="714" t="s">
        <v>1381</v>
      </c>
      <c r="Q427" s="714"/>
    </row>
    <row r="428" spans="1:17" x14ac:dyDescent="0.25">
      <c r="A428" t="s">
        <v>499</v>
      </c>
      <c r="B428">
        <v>60</v>
      </c>
      <c r="D428" s="714" t="s">
        <v>1376</v>
      </c>
      <c r="E428" s="715" t="s">
        <v>1383</v>
      </c>
      <c r="G428" t="s">
        <v>160</v>
      </c>
      <c r="H428" t="s">
        <v>1382</v>
      </c>
      <c r="J428" s="714" t="s">
        <v>1376</v>
      </c>
      <c r="K428" s="715" t="s">
        <v>1383</v>
      </c>
      <c r="M428" t="s">
        <v>160</v>
      </c>
      <c r="N428" t="s">
        <v>1382</v>
      </c>
      <c r="P428" s="714" t="s">
        <v>1376</v>
      </c>
      <c r="Q428" s="715" t="s">
        <v>1383</v>
      </c>
    </row>
    <row r="429" spans="1:17" x14ac:dyDescent="0.25">
      <c r="A429" t="s">
        <v>500</v>
      </c>
      <c r="B429">
        <v>60</v>
      </c>
      <c r="D429" s="714" t="str" cm="1">
        <f t="array" ref="D429:D440">_xlfn.UNIQUE(tblSigma5[Model], TRUE, FALSE)</f>
        <v>CPRF-S1</v>
      </c>
      <c r="E429" s="715" cm="1">
        <f t="array" ref="E429:E435">_xlfn.UNIQUE(_xlfn._xlws.FILTER(tblSigma5Width[Width], (tblSigma5Width[Model]='Sigma 5 Feed (1)'!model)*(tblSigma5Width[Width]&gt;=CoilWidth_Max), ""), FALSE, FALSE)</f>
        <v>42</v>
      </c>
      <c r="G429" t="s">
        <v>647</v>
      </c>
      <c r="H429">
        <v>80</v>
      </c>
      <c r="J429" s="714" t="str" cm="1">
        <f t="array" ref="J429:J445">_xlfn.UNIQUE(tblSigma5PT[Model], TRUE, FALSE)</f>
        <v>CPRF-S1 ES</v>
      </c>
      <c r="K429" s="715" t="str" cm="1">
        <f t="array" ref="K429">_xlfn.UNIQUE(_xlfn._xlws.FILTER(tblSigma5PTWidth[Width], (tblSigma5PTWidth[Model]='Sigma 5 Feed With Pull Thru (1)'!model)*(tblSigma5PTWidth[Width]&gt;=CoilWidth_Max), ""), FALSE, FALSE)</f>
        <v/>
      </c>
      <c r="M429" t="s">
        <v>766</v>
      </c>
      <c r="N429">
        <v>80</v>
      </c>
      <c r="P429" s="714" t="str" cm="1">
        <f t="array" ref="P429:P437">_xlfn.UNIQUE(tblAB[Model], TRUE, FALSE)</f>
        <v>CPRF-S1 MPL</v>
      </c>
      <c r="Q429" s="715" t="str" cm="1">
        <f t="array" ref="Q429">_xlfn.UNIQUE(_xlfn._xlws.FILTER(tblABWidth[Width], (tblABWidth[Model]='Allen Bradley MPL - Feed (1)'!model)*(tblABWidth[Width]&gt;=CoilWidth_Max), ""), FALSE, FALSE)</f>
        <v/>
      </c>
    </row>
    <row r="430" spans="1:17" x14ac:dyDescent="0.25">
      <c r="A430" t="s">
        <v>503</v>
      </c>
      <c r="B430">
        <v>60</v>
      </c>
      <c r="D430" s="714" t="str">
        <v>CPRF-S1 Plus</v>
      </c>
      <c r="E430" s="715">
        <v>48</v>
      </c>
      <c r="G430" t="s">
        <v>1018</v>
      </c>
      <c r="H430">
        <v>80</v>
      </c>
      <c r="J430" s="714" t="str">
        <v>CPRF-S1 ES Plus</v>
      </c>
      <c r="K430" s="715"/>
      <c r="M430" t="s">
        <v>769</v>
      </c>
      <c r="N430">
        <v>60</v>
      </c>
      <c r="P430" s="714" t="str">
        <v>CPRF-S2 MPL</v>
      </c>
      <c r="Q430" s="715"/>
    </row>
    <row r="431" spans="1:17" x14ac:dyDescent="0.25">
      <c r="A431" t="s">
        <v>504</v>
      </c>
      <c r="B431">
        <v>60</v>
      </c>
      <c r="D431" s="714" t="str">
        <v>CPRF-S2</v>
      </c>
      <c r="E431" s="715">
        <v>54</v>
      </c>
      <c r="G431" t="s">
        <v>648</v>
      </c>
      <c r="H431">
        <v>60</v>
      </c>
      <c r="J431" s="714" t="str">
        <v>CPRF-S2 ES</v>
      </c>
      <c r="K431" s="715"/>
      <c r="M431" t="s">
        <v>772</v>
      </c>
      <c r="N431">
        <v>60</v>
      </c>
      <c r="P431" s="714" t="str">
        <v>CPRF-S3 MPL</v>
      </c>
      <c r="Q431" s="715"/>
    </row>
    <row r="432" spans="1:17" x14ac:dyDescent="0.25">
      <c r="A432" t="s">
        <v>440</v>
      </c>
      <c r="B432">
        <v>60</v>
      </c>
      <c r="D432" s="714" t="str">
        <v>CPRF-S2 Plus</v>
      </c>
      <c r="E432" s="715">
        <v>60</v>
      </c>
      <c r="G432" t="s">
        <v>1019</v>
      </c>
      <c r="H432">
        <v>60</v>
      </c>
      <c r="J432" s="714" t="str">
        <v>CPRF-S2 ES Plus</v>
      </c>
      <c r="K432" s="715"/>
      <c r="M432" t="s">
        <v>775</v>
      </c>
      <c r="N432">
        <v>60</v>
      </c>
      <c r="P432" s="714" t="str">
        <v>CPRF-S3 MPM</v>
      </c>
      <c r="Q432" s="715"/>
    </row>
    <row r="433" spans="1:17" x14ac:dyDescent="0.25">
      <c r="A433" t="s">
        <v>507</v>
      </c>
      <c r="B433">
        <v>40</v>
      </c>
      <c r="D433" s="714" t="str">
        <v>CPRF-S3</v>
      </c>
      <c r="E433" s="715">
        <v>66</v>
      </c>
      <c r="G433" t="s">
        <v>649</v>
      </c>
      <c r="H433">
        <v>60</v>
      </c>
      <c r="J433" s="714" t="str">
        <v>CPRF-S3 ES</v>
      </c>
      <c r="K433" s="715"/>
      <c r="M433" t="s">
        <v>777</v>
      </c>
      <c r="N433">
        <v>60</v>
      </c>
      <c r="P433" s="714" t="str">
        <v>CPRF-S4 MPL</v>
      </c>
      <c r="Q433" s="715"/>
    </row>
    <row r="434" spans="1:17" x14ac:dyDescent="0.25">
      <c r="A434" t="s">
        <v>510</v>
      </c>
      <c r="B434">
        <v>35</v>
      </c>
      <c r="D434" s="714" t="str">
        <v>CPRF-S3 Plus</v>
      </c>
      <c r="E434" s="715">
        <v>72</v>
      </c>
      <c r="G434" t="s">
        <v>650</v>
      </c>
      <c r="H434">
        <v>60</v>
      </c>
      <c r="J434" s="714" t="str">
        <v>CPRF-S3 RS</v>
      </c>
      <c r="K434" s="715"/>
      <c r="M434" t="s">
        <v>780</v>
      </c>
      <c r="N434">
        <v>40</v>
      </c>
      <c r="P434" s="714" t="str">
        <v>CPRF-S5 MPL</v>
      </c>
      <c r="Q434" s="715"/>
    </row>
    <row r="435" spans="1:17" x14ac:dyDescent="0.25">
      <c r="A435" t="s">
        <v>511</v>
      </c>
      <c r="B435">
        <v>30</v>
      </c>
      <c r="D435" s="714" t="str">
        <v>CPRF-S4</v>
      </c>
      <c r="E435" s="715">
        <v>78</v>
      </c>
      <c r="G435" t="s">
        <v>651</v>
      </c>
      <c r="H435">
        <v>60</v>
      </c>
      <c r="J435" s="714" t="str">
        <v>CPRF-S3 RS Plus</v>
      </c>
      <c r="K435" s="715"/>
      <c r="M435" t="s">
        <v>762</v>
      </c>
      <c r="N435">
        <v>35</v>
      </c>
      <c r="P435" s="714" t="str">
        <v>CPRF-S6 MPL</v>
      </c>
      <c r="Q435" s="715"/>
    </row>
    <row r="436" spans="1:17" x14ac:dyDescent="0.25">
      <c r="A436" t="s">
        <v>514</v>
      </c>
      <c r="B436">
        <v>25</v>
      </c>
      <c r="D436" s="714" t="str">
        <v>CPRF-S4 Plus</v>
      </c>
      <c r="E436" s="715"/>
      <c r="G436" t="s">
        <v>653</v>
      </c>
      <c r="H436">
        <v>60</v>
      </c>
      <c r="J436" s="714" t="str">
        <v>CPRF-S4 HS</v>
      </c>
      <c r="K436" s="715"/>
      <c r="M436" t="s">
        <v>784</v>
      </c>
      <c r="N436">
        <v>30</v>
      </c>
      <c r="P436" s="714" t="str">
        <v>CPRF-S7 MPL</v>
      </c>
      <c r="Q436" s="715"/>
    </row>
    <row r="437" spans="1:17" x14ac:dyDescent="0.25">
      <c r="D437" s="714" t="str">
        <v>CPRF-S5</v>
      </c>
      <c r="E437" s="715"/>
      <c r="G437" t="s">
        <v>657</v>
      </c>
      <c r="H437">
        <v>60</v>
      </c>
      <c r="J437" s="714" t="str">
        <v>CPRF-S4 HS Plus</v>
      </c>
      <c r="K437" s="715"/>
      <c r="M437" t="s">
        <v>787</v>
      </c>
      <c r="N437">
        <v>25</v>
      </c>
      <c r="P437" s="714" t="str">
        <v>CPRF-S8 MPL</v>
      </c>
      <c r="Q437" s="715"/>
    </row>
    <row r="438" spans="1:17" x14ac:dyDescent="0.25">
      <c r="D438" s="714" t="str">
        <v>CPRF-S6</v>
      </c>
      <c r="E438" s="715"/>
      <c r="G438" t="s">
        <v>652</v>
      </c>
      <c r="H438">
        <v>60</v>
      </c>
      <c r="J438" s="714" t="str">
        <v>CPRF-S4 RS</v>
      </c>
      <c r="K438" s="715"/>
      <c r="P438" s="714"/>
      <c r="Q438" s="714"/>
    </row>
    <row r="439" spans="1:17" x14ac:dyDescent="0.25">
      <c r="D439" s="714" t="str">
        <v>CPRF-S7</v>
      </c>
      <c r="E439" s="715"/>
      <c r="G439" t="s">
        <v>654</v>
      </c>
      <c r="H439">
        <v>60</v>
      </c>
      <c r="J439" s="714" t="str">
        <v>CPRF-S4 RS Plus</v>
      </c>
      <c r="K439" s="715"/>
      <c r="P439" s="714"/>
      <c r="Q439" s="714"/>
    </row>
    <row r="440" spans="1:17" x14ac:dyDescent="0.25">
      <c r="D440" s="714" t="str">
        <v>CPRF-S8</v>
      </c>
      <c r="E440" s="715"/>
      <c r="G440" t="s">
        <v>814</v>
      </c>
      <c r="H440">
        <v>50</v>
      </c>
      <c r="J440" s="714" t="str">
        <v>CPRF-S5-350</v>
      </c>
      <c r="K440" s="715"/>
      <c r="P440" s="714"/>
      <c r="Q440" s="714"/>
    </row>
    <row r="441" spans="1:17" x14ac:dyDescent="0.25">
      <c r="D441" s="714"/>
      <c r="E441" s="714"/>
      <c r="G441" t="s">
        <v>813</v>
      </c>
      <c r="H441">
        <v>35</v>
      </c>
      <c r="J441" s="714" t="str">
        <v>CPRF-S6-350</v>
      </c>
      <c r="K441" s="715"/>
      <c r="P441" s="714"/>
      <c r="Q441" s="714"/>
    </row>
    <row r="442" spans="1:17" x14ac:dyDescent="0.25">
      <c r="D442" s="714"/>
      <c r="E442" s="714"/>
      <c r="G442" t="s">
        <v>812</v>
      </c>
      <c r="H442">
        <v>35</v>
      </c>
      <c r="J442" s="714" t="str">
        <v>CPRF-S6-500</v>
      </c>
      <c r="K442" s="715"/>
      <c r="P442" s="714"/>
      <c r="Q442" s="714"/>
    </row>
    <row r="443" spans="1:17" x14ac:dyDescent="0.25">
      <c r="D443" s="714"/>
      <c r="E443" s="714"/>
      <c r="G443" t="s">
        <v>811</v>
      </c>
      <c r="H443">
        <v>30</v>
      </c>
      <c r="J443" s="714" t="str">
        <v>CPRF-S7-350</v>
      </c>
      <c r="K443" s="715"/>
      <c r="P443" s="714"/>
      <c r="Q443" s="714"/>
    </row>
    <row r="444" spans="1:17" x14ac:dyDescent="0.25">
      <c r="D444" s="714"/>
      <c r="E444" s="714"/>
      <c r="G444" t="s">
        <v>810</v>
      </c>
      <c r="H444">
        <v>30</v>
      </c>
      <c r="J444" s="714" t="str">
        <v>CPRF-S7-500</v>
      </c>
      <c r="K444" s="715"/>
      <c r="P444" s="714"/>
      <c r="Q444" s="714"/>
    </row>
    <row r="445" spans="1:17" x14ac:dyDescent="0.25">
      <c r="D445" s="714"/>
      <c r="E445" s="714"/>
      <c r="G445" t="s">
        <v>809</v>
      </c>
      <c r="H445">
        <v>25</v>
      </c>
      <c r="J445" s="714" t="str">
        <v>CPRF-S8-500</v>
      </c>
      <c r="K445" s="715"/>
      <c r="P445" s="714"/>
      <c r="Q445" s="714"/>
    </row>
    <row r="446" spans="1:17" x14ac:dyDescent="0.25">
      <c r="A446" t="s">
        <v>1384</v>
      </c>
    </row>
    <row r="447" spans="1:17" x14ac:dyDescent="0.25">
      <c r="A447" t="s">
        <v>160</v>
      </c>
      <c r="B447" t="s">
        <v>447</v>
      </c>
    </row>
    <row r="448" spans="1:17" x14ac:dyDescent="0.25">
      <c r="A448" t="s">
        <v>492</v>
      </c>
      <c r="B448">
        <v>6</v>
      </c>
    </row>
    <row r="449" spans="1:14" x14ac:dyDescent="0.25">
      <c r="A449" t="s">
        <v>492</v>
      </c>
      <c r="B449">
        <v>12</v>
      </c>
    </row>
    <row r="450" spans="1:14" x14ac:dyDescent="0.25">
      <c r="A450" t="s">
        <v>492</v>
      </c>
      <c r="B450">
        <v>18</v>
      </c>
      <c r="G450" t="s">
        <v>1385</v>
      </c>
      <c r="M450" t="s">
        <v>1381</v>
      </c>
    </row>
    <row r="451" spans="1:14" x14ac:dyDescent="0.25">
      <c r="A451" t="s">
        <v>492</v>
      </c>
      <c r="B451">
        <v>24</v>
      </c>
      <c r="G451" t="s">
        <v>160</v>
      </c>
      <c r="H451" t="s">
        <v>447</v>
      </c>
      <c r="M451" t="s">
        <v>160</v>
      </c>
      <c r="N451" t="s">
        <v>447</v>
      </c>
    </row>
    <row r="452" spans="1:14" x14ac:dyDescent="0.25">
      <c r="A452" t="s">
        <v>495</v>
      </c>
      <c r="B452">
        <v>6</v>
      </c>
      <c r="G452" t="s">
        <v>647</v>
      </c>
      <c r="H452">
        <v>6</v>
      </c>
      <c r="M452" t="s">
        <v>766</v>
      </c>
      <c r="N452">
        <v>6</v>
      </c>
    </row>
    <row r="453" spans="1:14" x14ac:dyDescent="0.25">
      <c r="A453" t="s">
        <v>495</v>
      </c>
      <c r="B453">
        <v>12</v>
      </c>
      <c r="G453" t="s">
        <v>647</v>
      </c>
      <c r="H453">
        <v>12</v>
      </c>
      <c r="M453" t="s">
        <v>766</v>
      </c>
      <c r="N453">
        <v>12</v>
      </c>
    </row>
    <row r="454" spans="1:14" x14ac:dyDescent="0.25">
      <c r="A454" t="s">
        <v>495</v>
      </c>
      <c r="B454">
        <v>18</v>
      </c>
      <c r="G454" t="s">
        <v>647</v>
      </c>
      <c r="H454">
        <v>18</v>
      </c>
      <c r="M454" t="s">
        <v>766</v>
      </c>
      <c r="N454">
        <v>18</v>
      </c>
    </row>
    <row r="455" spans="1:14" x14ac:dyDescent="0.25">
      <c r="A455" t="s">
        <v>495</v>
      </c>
      <c r="B455">
        <v>24</v>
      </c>
      <c r="G455" t="s">
        <v>647</v>
      </c>
      <c r="H455">
        <v>24</v>
      </c>
      <c r="M455" t="s">
        <v>766</v>
      </c>
      <c r="N455">
        <v>24</v>
      </c>
    </row>
    <row r="456" spans="1:14" x14ac:dyDescent="0.25">
      <c r="A456" t="s">
        <v>496</v>
      </c>
      <c r="B456">
        <v>6</v>
      </c>
      <c r="G456" t="s">
        <v>1018</v>
      </c>
      <c r="H456">
        <v>6</v>
      </c>
      <c r="M456" t="s">
        <v>769</v>
      </c>
      <c r="N456">
        <v>6</v>
      </c>
    </row>
    <row r="457" spans="1:14" x14ac:dyDescent="0.25">
      <c r="A457" t="s">
        <v>496</v>
      </c>
      <c r="B457">
        <v>12</v>
      </c>
      <c r="G457" t="s">
        <v>1018</v>
      </c>
      <c r="H457">
        <v>12</v>
      </c>
      <c r="M457" t="s">
        <v>769</v>
      </c>
      <c r="N457">
        <v>12</v>
      </c>
    </row>
    <row r="458" spans="1:14" x14ac:dyDescent="0.25">
      <c r="A458" t="s">
        <v>496</v>
      </c>
      <c r="B458">
        <v>18</v>
      </c>
      <c r="G458" t="s">
        <v>1018</v>
      </c>
      <c r="H458">
        <v>18</v>
      </c>
      <c r="M458" t="s">
        <v>769</v>
      </c>
      <c r="N458">
        <v>18</v>
      </c>
    </row>
    <row r="459" spans="1:14" x14ac:dyDescent="0.25">
      <c r="A459" t="s">
        <v>496</v>
      </c>
      <c r="B459">
        <v>24</v>
      </c>
      <c r="G459" t="s">
        <v>1018</v>
      </c>
      <c r="H459">
        <v>24</v>
      </c>
      <c r="M459" t="s">
        <v>769</v>
      </c>
      <c r="N459">
        <v>24</v>
      </c>
    </row>
    <row r="460" spans="1:14" x14ac:dyDescent="0.25">
      <c r="A460" t="s">
        <v>496</v>
      </c>
      <c r="B460">
        <v>30</v>
      </c>
      <c r="G460" t="s">
        <v>648</v>
      </c>
      <c r="H460">
        <v>6</v>
      </c>
      <c r="M460" t="s">
        <v>769</v>
      </c>
      <c r="N460">
        <v>30</v>
      </c>
    </row>
    <row r="461" spans="1:14" x14ac:dyDescent="0.25">
      <c r="A461" t="s">
        <v>499</v>
      </c>
      <c r="B461">
        <v>6</v>
      </c>
      <c r="G461" t="s">
        <v>648</v>
      </c>
      <c r="H461">
        <v>12</v>
      </c>
      <c r="M461" t="s">
        <v>772</v>
      </c>
      <c r="N461">
        <v>12</v>
      </c>
    </row>
    <row r="462" spans="1:14" x14ac:dyDescent="0.25">
      <c r="A462" t="s">
        <v>499</v>
      </c>
      <c r="B462">
        <v>12</v>
      </c>
      <c r="G462" t="s">
        <v>648</v>
      </c>
      <c r="H462">
        <v>18</v>
      </c>
      <c r="M462" t="s">
        <v>772</v>
      </c>
      <c r="N462">
        <v>18</v>
      </c>
    </row>
    <row r="463" spans="1:14" x14ac:dyDescent="0.25">
      <c r="A463" t="s">
        <v>499</v>
      </c>
      <c r="B463">
        <v>18</v>
      </c>
      <c r="G463" t="s">
        <v>648</v>
      </c>
      <c r="H463">
        <v>24</v>
      </c>
      <c r="M463" t="s">
        <v>772</v>
      </c>
      <c r="N463">
        <v>24</v>
      </c>
    </row>
    <row r="464" spans="1:14" x14ac:dyDescent="0.25">
      <c r="A464" t="s">
        <v>499</v>
      </c>
      <c r="B464">
        <v>24</v>
      </c>
      <c r="G464" t="s">
        <v>648</v>
      </c>
      <c r="H464">
        <v>30</v>
      </c>
      <c r="M464" t="s">
        <v>772</v>
      </c>
      <c r="N464">
        <v>30</v>
      </c>
    </row>
    <row r="465" spans="1:14" x14ac:dyDescent="0.25">
      <c r="A465" t="s">
        <v>499</v>
      </c>
      <c r="B465">
        <v>30</v>
      </c>
      <c r="G465" t="s">
        <v>1019</v>
      </c>
      <c r="H465">
        <v>6</v>
      </c>
      <c r="M465" t="s">
        <v>772</v>
      </c>
      <c r="N465">
        <v>36</v>
      </c>
    </row>
    <row r="466" spans="1:14" x14ac:dyDescent="0.25">
      <c r="A466" t="s">
        <v>500</v>
      </c>
      <c r="B466">
        <v>12</v>
      </c>
      <c r="G466" t="s">
        <v>1019</v>
      </c>
      <c r="H466">
        <v>12</v>
      </c>
      <c r="M466" t="s">
        <v>772</v>
      </c>
      <c r="N466">
        <v>42</v>
      </c>
    </row>
    <row r="467" spans="1:14" x14ac:dyDescent="0.25">
      <c r="A467" t="s">
        <v>500</v>
      </c>
      <c r="B467">
        <v>18</v>
      </c>
      <c r="G467" t="s">
        <v>1019</v>
      </c>
      <c r="H467">
        <v>18</v>
      </c>
      <c r="M467" t="s">
        <v>775</v>
      </c>
      <c r="N467">
        <v>18</v>
      </c>
    </row>
    <row r="468" spans="1:14" x14ac:dyDescent="0.25">
      <c r="A468" t="s">
        <v>500</v>
      </c>
      <c r="B468">
        <v>24</v>
      </c>
      <c r="G468" t="s">
        <v>1019</v>
      </c>
      <c r="H468">
        <v>24</v>
      </c>
      <c r="M468" t="s">
        <v>775</v>
      </c>
      <c r="N468">
        <v>24</v>
      </c>
    </row>
    <row r="469" spans="1:14" x14ac:dyDescent="0.25">
      <c r="A469" t="s">
        <v>500</v>
      </c>
      <c r="B469">
        <v>30</v>
      </c>
      <c r="G469" t="s">
        <v>1019</v>
      </c>
      <c r="H469">
        <v>30</v>
      </c>
      <c r="M469" t="s">
        <v>775</v>
      </c>
      <c r="N469">
        <v>30</v>
      </c>
    </row>
    <row r="470" spans="1:14" x14ac:dyDescent="0.25">
      <c r="A470" t="s">
        <v>500</v>
      </c>
      <c r="B470">
        <v>36</v>
      </c>
      <c r="G470" t="s">
        <v>649</v>
      </c>
      <c r="H470">
        <v>12</v>
      </c>
      <c r="M470" t="s">
        <v>775</v>
      </c>
      <c r="N470">
        <v>36</v>
      </c>
    </row>
    <row r="471" spans="1:14" x14ac:dyDescent="0.25">
      <c r="A471" t="s">
        <v>500</v>
      </c>
      <c r="B471">
        <v>42</v>
      </c>
      <c r="G471" t="s">
        <v>649</v>
      </c>
      <c r="H471">
        <v>18</v>
      </c>
      <c r="M471" t="s">
        <v>775</v>
      </c>
      <c r="N471">
        <v>42</v>
      </c>
    </row>
    <row r="472" spans="1:14" x14ac:dyDescent="0.25">
      <c r="A472" t="s">
        <v>503</v>
      </c>
      <c r="B472">
        <v>12</v>
      </c>
      <c r="G472" t="s">
        <v>649</v>
      </c>
      <c r="H472">
        <v>24</v>
      </c>
      <c r="M472" t="s">
        <v>777</v>
      </c>
      <c r="N472">
        <v>12</v>
      </c>
    </row>
    <row r="473" spans="1:14" x14ac:dyDescent="0.25">
      <c r="A473" t="s">
        <v>503</v>
      </c>
      <c r="B473">
        <v>18</v>
      </c>
      <c r="G473" t="s">
        <v>649</v>
      </c>
      <c r="H473">
        <v>30</v>
      </c>
      <c r="M473" t="s">
        <v>777</v>
      </c>
      <c r="N473">
        <v>18</v>
      </c>
    </row>
    <row r="474" spans="1:14" x14ac:dyDescent="0.25">
      <c r="A474" t="s">
        <v>503</v>
      </c>
      <c r="B474">
        <v>24</v>
      </c>
      <c r="G474" t="s">
        <v>649</v>
      </c>
      <c r="H474">
        <v>36</v>
      </c>
      <c r="M474" t="s">
        <v>777</v>
      </c>
      <c r="N474">
        <v>24</v>
      </c>
    </row>
    <row r="475" spans="1:14" x14ac:dyDescent="0.25">
      <c r="A475" t="s">
        <v>503</v>
      </c>
      <c r="B475">
        <v>30</v>
      </c>
      <c r="G475" t="s">
        <v>649</v>
      </c>
      <c r="H475">
        <v>42</v>
      </c>
      <c r="M475" t="s">
        <v>777</v>
      </c>
      <c r="N475">
        <v>30</v>
      </c>
    </row>
    <row r="476" spans="1:14" x14ac:dyDescent="0.25">
      <c r="A476" t="s">
        <v>503</v>
      </c>
      <c r="B476">
        <v>36</v>
      </c>
      <c r="G476" t="s">
        <v>650</v>
      </c>
      <c r="H476">
        <v>12</v>
      </c>
      <c r="M476" t="s">
        <v>777</v>
      </c>
      <c r="N476">
        <v>36</v>
      </c>
    </row>
    <row r="477" spans="1:14" x14ac:dyDescent="0.25">
      <c r="A477" t="s">
        <v>503</v>
      </c>
      <c r="B477">
        <v>42</v>
      </c>
      <c r="G477" t="s">
        <v>650</v>
      </c>
      <c r="H477">
        <v>18</v>
      </c>
      <c r="M477" t="s">
        <v>777</v>
      </c>
      <c r="N477">
        <v>42</v>
      </c>
    </row>
    <row r="478" spans="1:14" x14ac:dyDescent="0.25">
      <c r="A478" t="s">
        <v>504</v>
      </c>
      <c r="B478">
        <v>12</v>
      </c>
      <c r="G478" t="s">
        <v>650</v>
      </c>
      <c r="H478">
        <v>24</v>
      </c>
      <c r="M478" t="s">
        <v>777</v>
      </c>
      <c r="N478">
        <v>48</v>
      </c>
    </row>
    <row r="479" spans="1:14" x14ac:dyDescent="0.25">
      <c r="A479" t="s">
        <v>504</v>
      </c>
      <c r="B479">
        <v>18</v>
      </c>
      <c r="G479" t="s">
        <v>650</v>
      </c>
      <c r="H479">
        <v>30</v>
      </c>
      <c r="M479" t="s">
        <v>777</v>
      </c>
      <c r="N479">
        <v>54</v>
      </c>
    </row>
    <row r="480" spans="1:14" x14ac:dyDescent="0.25">
      <c r="A480" t="s">
        <v>504</v>
      </c>
      <c r="B480">
        <v>24</v>
      </c>
      <c r="G480" t="s">
        <v>650</v>
      </c>
      <c r="H480">
        <v>36</v>
      </c>
      <c r="M480" t="s">
        <v>780</v>
      </c>
      <c r="N480">
        <v>18</v>
      </c>
    </row>
    <row r="481" spans="1:14" x14ac:dyDescent="0.25">
      <c r="A481" t="s">
        <v>504</v>
      </c>
      <c r="B481">
        <v>30</v>
      </c>
      <c r="G481" t="s">
        <v>650</v>
      </c>
      <c r="H481">
        <v>42</v>
      </c>
      <c r="M481" t="s">
        <v>780</v>
      </c>
      <c r="N481">
        <v>24</v>
      </c>
    </row>
    <row r="482" spans="1:14" x14ac:dyDescent="0.25">
      <c r="A482" t="s">
        <v>504</v>
      </c>
      <c r="B482">
        <v>36</v>
      </c>
      <c r="G482" t="s">
        <v>651</v>
      </c>
      <c r="H482">
        <v>12</v>
      </c>
      <c r="M482" t="s">
        <v>780</v>
      </c>
      <c r="N482">
        <v>30</v>
      </c>
    </row>
    <row r="483" spans="1:14" x14ac:dyDescent="0.25">
      <c r="A483" t="s">
        <v>504</v>
      </c>
      <c r="B483">
        <v>42</v>
      </c>
      <c r="G483" t="s">
        <v>651</v>
      </c>
      <c r="H483">
        <v>18</v>
      </c>
      <c r="M483" t="s">
        <v>780</v>
      </c>
      <c r="N483">
        <v>36</v>
      </c>
    </row>
    <row r="484" spans="1:14" x14ac:dyDescent="0.25">
      <c r="A484" t="s">
        <v>504</v>
      </c>
      <c r="B484">
        <v>48</v>
      </c>
      <c r="G484" t="s">
        <v>651</v>
      </c>
      <c r="H484">
        <v>24</v>
      </c>
      <c r="M484" t="s">
        <v>780</v>
      </c>
      <c r="N484">
        <v>42</v>
      </c>
    </row>
    <row r="485" spans="1:14" x14ac:dyDescent="0.25">
      <c r="A485" t="s">
        <v>504</v>
      </c>
      <c r="B485">
        <v>54</v>
      </c>
      <c r="G485" t="s">
        <v>651</v>
      </c>
      <c r="H485">
        <v>30</v>
      </c>
      <c r="M485" t="s">
        <v>780</v>
      </c>
      <c r="N485">
        <v>48</v>
      </c>
    </row>
    <row r="486" spans="1:14" x14ac:dyDescent="0.25">
      <c r="A486" t="s">
        <v>440</v>
      </c>
      <c r="B486">
        <v>12</v>
      </c>
      <c r="G486" t="s">
        <v>651</v>
      </c>
      <c r="H486">
        <v>36</v>
      </c>
      <c r="M486" t="s">
        <v>780</v>
      </c>
      <c r="N486">
        <v>54</v>
      </c>
    </row>
    <row r="487" spans="1:14" x14ac:dyDescent="0.25">
      <c r="A487" t="s">
        <v>440</v>
      </c>
      <c r="B487">
        <v>18</v>
      </c>
      <c r="G487" t="s">
        <v>651</v>
      </c>
      <c r="H487">
        <v>42</v>
      </c>
      <c r="M487" t="s">
        <v>780</v>
      </c>
      <c r="N487">
        <v>60</v>
      </c>
    </row>
    <row r="488" spans="1:14" x14ac:dyDescent="0.25">
      <c r="A488" t="s">
        <v>440</v>
      </c>
      <c r="B488">
        <v>24</v>
      </c>
      <c r="G488" t="s">
        <v>653</v>
      </c>
      <c r="H488">
        <v>12</v>
      </c>
      <c r="M488" t="s">
        <v>762</v>
      </c>
      <c r="N488">
        <v>18</v>
      </c>
    </row>
    <row r="489" spans="1:14" x14ac:dyDescent="0.25">
      <c r="A489" t="s">
        <v>440</v>
      </c>
      <c r="B489">
        <v>30</v>
      </c>
      <c r="G489" t="s">
        <v>653</v>
      </c>
      <c r="H489">
        <v>18</v>
      </c>
      <c r="M489" t="s">
        <v>762</v>
      </c>
      <c r="N489">
        <v>24</v>
      </c>
    </row>
    <row r="490" spans="1:14" x14ac:dyDescent="0.25">
      <c r="A490" t="s">
        <v>440</v>
      </c>
      <c r="B490">
        <v>36</v>
      </c>
      <c r="G490" t="s">
        <v>653</v>
      </c>
      <c r="H490">
        <v>24</v>
      </c>
      <c r="M490" t="s">
        <v>762</v>
      </c>
      <c r="N490">
        <v>30</v>
      </c>
    </row>
    <row r="491" spans="1:14" x14ac:dyDescent="0.25">
      <c r="A491" t="s">
        <v>440</v>
      </c>
      <c r="B491">
        <v>42</v>
      </c>
      <c r="G491" t="s">
        <v>653</v>
      </c>
      <c r="H491">
        <v>30</v>
      </c>
      <c r="M491" t="s">
        <v>762</v>
      </c>
      <c r="N491">
        <v>36</v>
      </c>
    </row>
    <row r="492" spans="1:14" x14ac:dyDescent="0.25">
      <c r="A492" t="s">
        <v>440</v>
      </c>
      <c r="B492">
        <v>48</v>
      </c>
      <c r="G492" t="s">
        <v>653</v>
      </c>
      <c r="H492">
        <v>36</v>
      </c>
      <c r="M492" t="s">
        <v>762</v>
      </c>
      <c r="N492">
        <v>42</v>
      </c>
    </row>
    <row r="493" spans="1:14" x14ac:dyDescent="0.25">
      <c r="A493" t="s">
        <v>440</v>
      </c>
      <c r="B493">
        <v>54</v>
      </c>
      <c r="G493" t="s">
        <v>653</v>
      </c>
      <c r="H493">
        <v>42</v>
      </c>
      <c r="M493" t="s">
        <v>762</v>
      </c>
      <c r="N493">
        <v>48</v>
      </c>
    </row>
    <row r="494" spans="1:14" x14ac:dyDescent="0.25">
      <c r="A494" t="s">
        <v>507</v>
      </c>
      <c r="B494">
        <v>18</v>
      </c>
      <c r="G494" t="s">
        <v>653</v>
      </c>
      <c r="H494">
        <v>48</v>
      </c>
      <c r="M494" t="s">
        <v>762</v>
      </c>
      <c r="N494">
        <v>54</v>
      </c>
    </row>
    <row r="495" spans="1:14" x14ac:dyDescent="0.25">
      <c r="A495" t="s">
        <v>507</v>
      </c>
      <c r="B495">
        <v>24</v>
      </c>
      <c r="G495" t="s">
        <v>653</v>
      </c>
      <c r="H495">
        <v>54</v>
      </c>
      <c r="M495" t="s">
        <v>762</v>
      </c>
      <c r="N495">
        <v>60</v>
      </c>
    </row>
    <row r="496" spans="1:14" x14ac:dyDescent="0.25">
      <c r="A496" t="s">
        <v>507</v>
      </c>
      <c r="B496">
        <v>30</v>
      </c>
      <c r="G496" t="s">
        <v>657</v>
      </c>
      <c r="H496">
        <v>12</v>
      </c>
      <c r="M496" t="s">
        <v>762</v>
      </c>
      <c r="N496">
        <v>66</v>
      </c>
    </row>
    <row r="497" spans="1:14" x14ac:dyDescent="0.25">
      <c r="A497" t="s">
        <v>507</v>
      </c>
      <c r="B497">
        <v>36</v>
      </c>
      <c r="G497" t="s">
        <v>657</v>
      </c>
      <c r="H497">
        <v>18</v>
      </c>
      <c r="M497" t="s">
        <v>762</v>
      </c>
      <c r="N497">
        <v>72</v>
      </c>
    </row>
    <row r="498" spans="1:14" x14ac:dyDescent="0.25">
      <c r="A498" t="s">
        <v>507</v>
      </c>
      <c r="B498">
        <v>42</v>
      </c>
      <c r="G498" t="s">
        <v>657</v>
      </c>
      <c r="H498">
        <v>24</v>
      </c>
      <c r="M498" t="s">
        <v>784</v>
      </c>
      <c r="N498">
        <v>24</v>
      </c>
    </row>
    <row r="499" spans="1:14" x14ac:dyDescent="0.25">
      <c r="A499" t="s">
        <v>507</v>
      </c>
      <c r="B499">
        <v>48</v>
      </c>
      <c r="G499" t="s">
        <v>657</v>
      </c>
      <c r="H499">
        <v>30</v>
      </c>
      <c r="M499" t="s">
        <v>784</v>
      </c>
      <c r="N499">
        <v>30</v>
      </c>
    </row>
    <row r="500" spans="1:14" x14ac:dyDescent="0.25">
      <c r="A500" t="s">
        <v>507</v>
      </c>
      <c r="B500">
        <v>54</v>
      </c>
      <c r="G500" t="s">
        <v>657</v>
      </c>
      <c r="H500">
        <v>36</v>
      </c>
      <c r="M500" t="s">
        <v>784</v>
      </c>
      <c r="N500">
        <v>36</v>
      </c>
    </row>
    <row r="501" spans="1:14" x14ac:dyDescent="0.25">
      <c r="A501" t="s">
        <v>507</v>
      </c>
      <c r="B501">
        <v>60</v>
      </c>
      <c r="G501" t="s">
        <v>657</v>
      </c>
      <c r="H501">
        <v>42</v>
      </c>
      <c r="M501" t="s">
        <v>784</v>
      </c>
      <c r="N501">
        <v>42</v>
      </c>
    </row>
    <row r="502" spans="1:14" x14ac:dyDescent="0.25">
      <c r="A502" t="s">
        <v>510</v>
      </c>
      <c r="B502">
        <v>18</v>
      </c>
      <c r="G502" t="s">
        <v>657</v>
      </c>
      <c r="H502">
        <v>48</v>
      </c>
      <c r="M502" t="s">
        <v>784</v>
      </c>
      <c r="N502">
        <v>48</v>
      </c>
    </row>
    <row r="503" spans="1:14" x14ac:dyDescent="0.25">
      <c r="A503" t="s">
        <v>510</v>
      </c>
      <c r="B503">
        <v>24</v>
      </c>
      <c r="G503" t="s">
        <v>657</v>
      </c>
      <c r="H503">
        <v>54</v>
      </c>
      <c r="M503" t="s">
        <v>784</v>
      </c>
      <c r="N503">
        <v>54</v>
      </c>
    </row>
    <row r="504" spans="1:14" x14ac:dyDescent="0.25">
      <c r="A504" t="s">
        <v>510</v>
      </c>
      <c r="B504">
        <v>30</v>
      </c>
      <c r="G504" t="s">
        <v>652</v>
      </c>
      <c r="H504">
        <v>12</v>
      </c>
      <c r="M504" t="s">
        <v>784</v>
      </c>
      <c r="N504">
        <v>60</v>
      </c>
    </row>
    <row r="505" spans="1:14" x14ac:dyDescent="0.25">
      <c r="A505" t="s">
        <v>510</v>
      </c>
      <c r="B505">
        <v>36</v>
      </c>
      <c r="G505" t="s">
        <v>652</v>
      </c>
      <c r="H505">
        <v>18</v>
      </c>
      <c r="M505" t="s">
        <v>784</v>
      </c>
      <c r="N505">
        <v>66</v>
      </c>
    </row>
    <row r="506" spans="1:14" x14ac:dyDescent="0.25">
      <c r="A506" t="s">
        <v>510</v>
      </c>
      <c r="B506">
        <v>42</v>
      </c>
      <c r="G506" t="s">
        <v>652</v>
      </c>
      <c r="H506">
        <v>24</v>
      </c>
      <c r="M506" t="s">
        <v>784</v>
      </c>
      <c r="N506">
        <v>72</v>
      </c>
    </row>
    <row r="507" spans="1:14" x14ac:dyDescent="0.25">
      <c r="A507" t="s">
        <v>510</v>
      </c>
      <c r="B507">
        <v>48</v>
      </c>
      <c r="G507" t="s">
        <v>652</v>
      </c>
      <c r="H507">
        <v>30</v>
      </c>
      <c r="M507" t="s">
        <v>787</v>
      </c>
      <c r="N507">
        <v>24</v>
      </c>
    </row>
    <row r="508" spans="1:14" x14ac:dyDescent="0.25">
      <c r="A508" t="s">
        <v>510</v>
      </c>
      <c r="B508">
        <v>54</v>
      </c>
      <c r="G508" t="s">
        <v>652</v>
      </c>
      <c r="H508">
        <v>36</v>
      </c>
      <c r="M508" t="s">
        <v>787</v>
      </c>
      <c r="N508">
        <v>30</v>
      </c>
    </row>
    <row r="509" spans="1:14" x14ac:dyDescent="0.25">
      <c r="A509" t="s">
        <v>510</v>
      </c>
      <c r="B509">
        <v>60</v>
      </c>
      <c r="G509" t="s">
        <v>652</v>
      </c>
      <c r="H509">
        <v>42</v>
      </c>
      <c r="M509" t="s">
        <v>787</v>
      </c>
      <c r="N509">
        <v>36</v>
      </c>
    </row>
    <row r="510" spans="1:14" x14ac:dyDescent="0.25">
      <c r="A510" t="s">
        <v>510</v>
      </c>
      <c r="B510">
        <v>66</v>
      </c>
      <c r="G510" t="s">
        <v>652</v>
      </c>
      <c r="H510">
        <v>48</v>
      </c>
      <c r="M510" t="s">
        <v>787</v>
      </c>
      <c r="N510">
        <v>42</v>
      </c>
    </row>
    <row r="511" spans="1:14" x14ac:dyDescent="0.25">
      <c r="A511" t="s">
        <v>510</v>
      </c>
      <c r="B511">
        <v>72</v>
      </c>
      <c r="G511" t="s">
        <v>652</v>
      </c>
      <c r="H511">
        <v>54</v>
      </c>
      <c r="M511" t="s">
        <v>787</v>
      </c>
      <c r="N511">
        <v>48</v>
      </c>
    </row>
    <row r="512" spans="1:14" x14ac:dyDescent="0.25">
      <c r="A512" t="s">
        <v>511</v>
      </c>
      <c r="B512">
        <v>24</v>
      </c>
      <c r="G512" t="s">
        <v>654</v>
      </c>
      <c r="H512">
        <v>12</v>
      </c>
      <c r="M512" t="s">
        <v>787</v>
      </c>
      <c r="N512">
        <v>54</v>
      </c>
    </row>
    <row r="513" spans="1:14" x14ac:dyDescent="0.25">
      <c r="A513" t="s">
        <v>511</v>
      </c>
      <c r="B513">
        <v>30</v>
      </c>
      <c r="G513" t="s">
        <v>654</v>
      </c>
      <c r="H513">
        <v>18</v>
      </c>
      <c r="M513" t="s">
        <v>787</v>
      </c>
      <c r="N513">
        <v>60</v>
      </c>
    </row>
    <row r="514" spans="1:14" x14ac:dyDescent="0.25">
      <c r="A514" t="s">
        <v>511</v>
      </c>
      <c r="B514">
        <v>36</v>
      </c>
      <c r="G514" t="s">
        <v>654</v>
      </c>
      <c r="H514">
        <v>24</v>
      </c>
      <c r="M514" t="s">
        <v>787</v>
      </c>
      <c r="N514">
        <v>66</v>
      </c>
    </row>
    <row r="515" spans="1:14" x14ac:dyDescent="0.25">
      <c r="A515" t="s">
        <v>511</v>
      </c>
      <c r="B515">
        <v>42</v>
      </c>
      <c r="G515" t="s">
        <v>654</v>
      </c>
      <c r="H515">
        <v>30</v>
      </c>
      <c r="M515" t="s">
        <v>787</v>
      </c>
      <c r="N515">
        <v>72</v>
      </c>
    </row>
    <row r="516" spans="1:14" x14ac:dyDescent="0.25">
      <c r="A516" t="s">
        <v>511</v>
      </c>
      <c r="B516">
        <v>48</v>
      </c>
      <c r="G516" t="s">
        <v>654</v>
      </c>
      <c r="H516">
        <v>36</v>
      </c>
      <c r="M516" t="s">
        <v>787</v>
      </c>
      <c r="N516">
        <v>78</v>
      </c>
    </row>
    <row r="517" spans="1:14" x14ac:dyDescent="0.25">
      <c r="A517" t="s">
        <v>511</v>
      </c>
      <c r="B517">
        <v>54</v>
      </c>
      <c r="G517" t="s">
        <v>654</v>
      </c>
      <c r="H517">
        <v>42</v>
      </c>
    </row>
    <row r="518" spans="1:14" x14ac:dyDescent="0.25">
      <c r="A518" t="s">
        <v>511</v>
      </c>
      <c r="B518">
        <v>60</v>
      </c>
      <c r="G518" t="s">
        <v>654</v>
      </c>
      <c r="H518">
        <v>48</v>
      </c>
    </row>
    <row r="519" spans="1:14" x14ac:dyDescent="0.25">
      <c r="A519" t="s">
        <v>511</v>
      </c>
      <c r="B519">
        <v>66</v>
      </c>
      <c r="G519" t="s">
        <v>654</v>
      </c>
      <c r="H519">
        <v>54</v>
      </c>
    </row>
    <row r="520" spans="1:14" x14ac:dyDescent="0.25">
      <c r="A520" t="s">
        <v>511</v>
      </c>
      <c r="B520">
        <v>72</v>
      </c>
      <c r="G520" t="s">
        <v>814</v>
      </c>
      <c r="H520">
        <v>18</v>
      </c>
    </row>
    <row r="521" spans="1:14" x14ac:dyDescent="0.25">
      <c r="A521" t="s">
        <v>514</v>
      </c>
      <c r="B521">
        <v>24</v>
      </c>
      <c r="G521" t="s">
        <v>814</v>
      </c>
      <c r="H521">
        <v>24</v>
      </c>
    </row>
    <row r="522" spans="1:14" x14ac:dyDescent="0.25">
      <c r="A522" t="s">
        <v>514</v>
      </c>
      <c r="B522">
        <v>30</v>
      </c>
      <c r="G522" t="s">
        <v>814</v>
      </c>
      <c r="H522">
        <v>30</v>
      </c>
    </row>
    <row r="523" spans="1:14" x14ac:dyDescent="0.25">
      <c r="A523" t="s">
        <v>514</v>
      </c>
      <c r="B523">
        <v>36</v>
      </c>
      <c r="G523" t="s">
        <v>814</v>
      </c>
      <c r="H523">
        <v>36</v>
      </c>
    </row>
    <row r="524" spans="1:14" x14ac:dyDescent="0.25">
      <c r="A524" t="s">
        <v>514</v>
      </c>
      <c r="B524">
        <v>42</v>
      </c>
      <c r="G524" t="s">
        <v>814</v>
      </c>
      <c r="H524">
        <v>42</v>
      </c>
    </row>
    <row r="525" spans="1:14" x14ac:dyDescent="0.25">
      <c r="A525" t="s">
        <v>514</v>
      </c>
      <c r="B525">
        <v>48</v>
      </c>
      <c r="G525" t="s">
        <v>814</v>
      </c>
      <c r="H525">
        <v>48</v>
      </c>
    </row>
    <row r="526" spans="1:14" x14ac:dyDescent="0.25">
      <c r="A526" t="s">
        <v>514</v>
      </c>
      <c r="B526">
        <v>54</v>
      </c>
      <c r="G526" t="s">
        <v>814</v>
      </c>
      <c r="H526">
        <v>54</v>
      </c>
    </row>
    <row r="527" spans="1:14" x14ac:dyDescent="0.25">
      <c r="A527" t="s">
        <v>514</v>
      </c>
      <c r="B527">
        <v>60</v>
      </c>
      <c r="G527" t="s">
        <v>814</v>
      </c>
      <c r="H527">
        <v>60</v>
      </c>
    </row>
    <row r="528" spans="1:14" x14ac:dyDescent="0.25">
      <c r="A528" t="s">
        <v>514</v>
      </c>
      <c r="B528">
        <v>66</v>
      </c>
      <c r="G528" t="s">
        <v>813</v>
      </c>
      <c r="H528">
        <v>18</v>
      </c>
    </row>
    <row r="529" spans="1:8" x14ac:dyDescent="0.25">
      <c r="A529" t="s">
        <v>514</v>
      </c>
      <c r="B529">
        <v>72</v>
      </c>
      <c r="G529" t="s">
        <v>813</v>
      </c>
      <c r="H529">
        <v>24</v>
      </c>
    </row>
    <row r="530" spans="1:8" x14ac:dyDescent="0.25">
      <c r="A530" t="s">
        <v>514</v>
      </c>
      <c r="B530">
        <v>78</v>
      </c>
      <c r="G530" t="s">
        <v>813</v>
      </c>
      <c r="H530">
        <v>30</v>
      </c>
    </row>
    <row r="531" spans="1:8" x14ac:dyDescent="0.25">
      <c r="G531" t="s">
        <v>813</v>
      </c>
      <c r="H531">
        <v>36</v>
      </c>
    </row>
    <row r="532" spans="1:8" x14ac:dyDescent="0.25">
      <c r="G532" t="s">
        <v>813</v>
      </c>
      <c r="H532">
        <v>42</v>
      </c>
    </row>
    <row r="533" spans="1:8" x14ac:dyDescent="0.25">
      <c r="G533" t="s">
        <v>813</v>
      </c>
      <c r="H533">
        <v>48</v>
      </c>
    </row>
    <row r="534" spans="1:8" x14ac:dyDescent="0.25">
      <c r="G534" t="s">
        <v>813</v>
      </c>
      <c r="H534">
        <v>54</v>
      </c>
    </row>
    <row r="535" spans="1:8" x14ac:dyDescent="0.25">
      <c r="G535" t="s">
        <v>813</v>
      </c>
      <c r="H535">
        <v>60</v>
      </c>
    </row>
    <row r="536" spans="1:8" x14ac:dyDescent="0.25">
      <c r="G536" t="s">
        <v>813</v>
      </c>
      <c r="H536">
        <v>66</v>
      </c>
    </row>
    <row r="537" spans="1:8" x14ac:dyDescent="0.25">
      <c r="G537" t="s">
        <v>813</v>
      </c>
      <c r="H537">
        <v>72</v>
      </c>
    </row>
    <row r="538" spans="1:8" x14ac:dyDescent="0.25">
      <c r="G538" t="s">
        <v>812</v>
      </c>
      <c r="H538">
        <v>18</v>
      </c>
    </row>
    <row r="539" spans="1:8" x14ac:dyDescent="0.25">
      <c r="G539" t="s">
        <v>812</v>
      </c>
      <c r="H539">
        <v>24</v>
      </c>
    </row>
    <row r="540" spans="1:8" x14ac:dyDescent="0.25">
      <c r="G540" t="s">
        <v>812</v>
      </c>
      <c r="H540">
        <v>30</v>
      </c>
    </row>
    <row r="541" spans="1:8" x14ac:dyDescent="0.25">
      <c r="G541" t="s">
        <v>812</v>
      </c>
      <c r="H541">
        <v>36</v>
      </c>
    </row>
    <row r="542" spans="1:8" x14ac:dyDescent="0.25">
      <c r="G542" t="s">
        <v>812</v>
      </c>
      <c r="H542">
        <v>42</v>
      </c>
    </row>
    <row r="543" spans="1:8" x14ac:dyDescent="0.25">
      <c r="G543" t="s">
        <v>812</v>
      </c>
      <c r="H543">
        <v>48</v>
      </c>
    </row>
    <row r="544" spans="1:8" x14ac:dyDescent="0.25">
      <c r="G544" t="s">
        <v>812</v>
      </c>
      <c r="H544">
        <v>54</v>
      </c>
    </row>
    <row r="545" spans="7:8" x14ac:dyDescent="0.25">
      <c r="G545" t="s">
        <v>812</v>
      </c>
      <c r="H545">
        <v>60</v>
      </c>
    </row>
    <row r="546" spans="7:8" x14ac:dyDescent="0.25">
      <c r="G546" t="s">
        <v>812</v>
      </c>
      <c r="H546">
        <v>66</v>
      </c>
    </row>
    <row r="547" spans="7:8" x14ac:dyDescent="0.25">
      <c r="G547" t="s">
        <v>812</v>
      </c>
      <c r="H547">
        <v>72</v>
      </c>
    </row>
    <row r="548" spans="7:8" x14ac:dyDescent="0.25">
      <c r="G548" t="s">
        <v>811</v>
      </c>
      <c r="H548">
        <v>24</v>
      </c>
    </row>
    <row r="549" spans="7:8" x14ac:dyDescent="0.25">
      <c r="G549" t="s">
        <v>811</v>
      </c>
      <c r="H549">
        <v>30</v>
      </c>
    </row>
    <row r="550" spans="7:8" x14ac:dyDescent="0.25">
      <c r="G550" t="s">
        <v>811</v>
      </c>
      <c r="H550">
        <v>36</v>
      </c>
    </row>
    <row r="551" spans="7:8" x14ac:dyDescent="0.25">
      <c r="G551" t="s">
        <v>811</v>
      </c>
      <c r="H551">
        <v>42</v>
      </c>
    </row>
    <row r="552" spans="7:8" x14ac:dyDescent="0.25">
      <c r="G552" t="s">
        <v>811</v>
      </c>
      <c r="H552">
        <v>48</v>
      </c>
    </row>
    <row r="553" spans="7:8" x14ac:dyDescent="0.25">
      <c r="G553" t="s">
        <v>811</v>
      </c>
      <c r="H553">
        <v>54</v>
      </c>
    </row>
    <row r="554" spans="7:8" x14ac:dyDescent="0.25">
      <c r="G554" t="s">
        <v>811</v>
      </c>
      <c r="H554">
        <v>60</v>
      </c>
    </row>
    <row r="555" spans="7:8" x14ac:dyDescent="0.25">
      <c r="G555" t="s">
        <v>811</v>
      </c>
      <c r="H555">
        <v>66</v>
      </c>
    </row>
    <row r="556" spans="7:8" x14ac:dyDescent="0.25">
      <c r="G556" t="s">
        <v>811</v>
      </c>
      <c r="H556">
        <v>72</v>
      </c>
    </row>
    <row r="557" spans="7:8" x14ac:dyDescent="0.25">
      <c r="G557" t="s">
        <v>810</v>
      </c>
      <c r="H557">
        <v>24</v>
      </c>
    </row>
    <row r="558" spans="7:8" x14ac:dyDescent="0.25">
      <c r="G558" t="s">
        <v>810</v>
      </c>
      <c r="H558">
        <v>30</v>
      </c>
    </row>
    <row r="559" spans="7:8" x14ac:dyDescent="0.25">
      <c r="G559" t="s">
        <v>810</v>
      </c>
      <c r="H559">
        <v>36</v>
      </c>
    </row>
    <row r="560" spans="7:8" x14ac:dyDescent="0.25">
      <c r="G560" t="s">
        <v>810</v>
      </c>
      <c r="H560">
        <v>42</v>
      </c>
    </row>
    <row r="561" spans="1:8" x14ac:dyDescent="0.25">
      <c r="G561" t="s">
        <v>810</v>
      </c>
      <c r="H561">
        <v>48</v>
      </c>
    </row>
    <row r="562" spans="1:8" x14ac:dyDescent="0.25">
      <c r="G562" t="s">
        <v>810</v>
      </c>
      <c r="H562">
        <v>54</v>
      </c>
    </row>
    <row r="563" spans="1:8" x14ac:dyDescent="0.25">
      <c r="G563" t="s">
        <v>810</v>
      </c>
      <c r="H563">
        <v>60</v>
      </c>
    </row>
    <row r="564" spans="1:8" x14ac:dyDescent="0.25">
      <c r="G564" t="s">
        <v>810</v>
      </c>
      <c r="H564">
        <v>66</v>
      </c>
    </row>
    <row r="565" spans="1:8" x14ac:dyDescent="0.25">
      <c r="G565" t="s">
        <v>810</v>
      </c>
      <c r="H565">
        <v>72</v>
      </c>
    </row>
    <row r="566" spans="1:8" x14ac:dyDescent="0.25">
      <c r="G566" t="s">
        <v>809</v>
      </c>
      <c r="H566">
        <v>24</v>
      </c>
    </row>
    <row r="567" spans="1:8" x14ac:dyDescent="0.25">
      <c r="G567" t="s">
        <v>809</v>
      </c>
      <c r="H567">
        <v>30</v>
      </c>
    </row>
    <row r="568" spans="1:8" x14ac:dyDescent="0.25">
      <c r="G568" t="s">
        <v>809</v>
      </c>
      <c r="H568">
        <v>36</v>
      </c>
    </row>
    <row r="569" spans="1:8" x14ac:dyDescent="0.25">
      <c r="G569" t="s">
        <v>809</v>
      </c>
      <c r="H569">
        <v>42</v>
      </c>
    </row>
    <row r="570" spans="1:8" x14ac:dyDescent="0.25">
      <c r="G570" t="s">
        <v>809</v>
      </c>
      <c r="H570">
        <v>48</v>
      </c>
    </row>
    <row r="571" spans="1:8" x14ac:dyDescent="0.25">
      <c r="G571" t="s">
        <v>809</v>
      </c>
      <c r="H571">
        <v>54</v>
      </c>
    </row>
    <row r="572" spans="1:8" x14ac:dyDescent="0.25">
      <c r="G572" t="s">
        <v>809</v>
      </c>
      <c r="H572">
        <v>60</v>
      </c>
    </row>
    <row r="573" spans="1:8" x14ac:dyDescent="0.25">
      <c r="G573" t="s">
        <v>809</v>
      </c>
      <c r="H573">
        <v>66</v>
      </c>
    </row>
    <row r="574" spans="1:8" x14ac:dyDescent="0.25">
      <c r="G574" t="s">
        <v>809</v>
      </c>
      <c r="H574">
        <v>72</v>
      </c>
    </row>
    <row r="575" spans="1:8" x14ac:dyDescent="0.25">
      <c r="G575" t="s">
        <v>809</v>
      </c>
      <c r="H575">
        <v>78</v>
      </c>
    </row>
    <row r="576" spans="1:8" x14ac:dyDescent="0.25">
      <c r="A576" t="s">
        <v>160</v>
      </c>
      <c r="B576" t="s">
        <v>1391</v>
      </c>
    </row>
    <row r="577" spans="1:8" x14ac:dyDescent="0.25">
      <c r="A577" t="s">
        <v>150</v>
      </c>
      <c r="B577" t="b">
        <v>0</v>
      </c>
    </row>
    <row r="578" spans="1:8" x14ac:dyDescent="0.25">
      <c r="A578" t="s">
        <v>149</v>
      </c>
      <c r="B578" t="b">
        <v>1</v>
      </c>
    </row>
    <row r="579" spans="1:8" x14ac:dyDescent="0.25">
      <c r="A579" t="s">
        <v>147</v>
      </c>
      <c r="B579" t="b">
        <v>1</v>
      </c>
      <c r="D579" s="23" t="s">
        <v>1376</v>
      </c>
      <c r="E579" s="23" t="s">
        <v>1393</v>
      </c>
      <c r="F579" s="23" t="s">
        <v>1383</v>
      </c>
      <c r="G579" t="s">
        <v>1394</v>
      </c>
      <c r="H579" t="s">
        <v>1395</v>
      </c>
    </row>
    <row r="580" spans="1:8" x14ac:dyDescent="0.25">
      <c r="A580" t="s">
        <v>148</v>
      </c>
      <c r="B580" t="b">
        <v>1</v>
      </c>
      <c r="D580" s="715" t="str" cm="1">
        <f t="array" ref="D580:D585">IF('Str. Utility (1)'!$D$9="",_xlfn._xlws.FILTER(tblStrModel[Model],tblStrModel[Current]=TRUE),_xlfn.UNIQUE(tblStrModel[Model]))</f>
        <v>CPPS-250</v>
      </c>
      <c r="E580" s="715" cm="1">
        <f t="array" ref="E580:E585">_xlfn._xlws.FILTER(tblStrHP[[#Data], [HP]], (tblStrHP[Model]='Str. Utility (1)'!model), "")</f>
        <v>40</v>
      </c>
      <c r="F580" s="715" cm="1">
        <f t="array" ref="F580:F586">_xlfn._xlws.FILTER(tblStrWidth[[#Data], [Width]], (tblStrWidth[Model]='Str. Utility (1)'!model)*(tblStrWidth[Width]&gt;=CoilWidth_Max), "")</f>
        <v>42</v>
      </c>
      <c r="G580" s="714" cm="1">
        <f t="array" ref="G580">_xlfn._xlws.FILTER(tblStrHP[[#Data], [MtrInertia]],  (tblStrHP[Model]='Str. Utility (1)'!model)*(tblStrHP[HP]='Str. Utility (1)'!HP), "")</f>
        <v>3.8759999999999999</v>
      </c>
      <c r="H580" s="715" cm="1">
        <f t="array" ref="H580:H585">_xlfn._xlws.FILTER(tblStrFPM[[#Data], [FPM]], (tblStrFPM[Model]='Str. Utility (1)'!model)*(tblStrFPM[HP]='Str. Utility (1)'!HP), "")</f>
        <v>80</v>
      </c>
    </row>
    <row r="581" spans="1:8" x14ac:dyDescent="0.25">
      <c r="A581" t="s">
        <v>145</v>
      </c>
      <c r="B581" t="b">
        <v>1</v>
      </c>
      <c r="D581" s="715" t="str">
        <v>CPPS-306</v>
      </c>
      <c r="E581" s="715">
        <v>50</v>
      </c>
      <c r="F581" s="715">
        <v>48</v>
      </c>
      <c r="G581" s="714"/>
      <c r="H581" s="715">
        <v>100</v>
      </c>
    </row>
    <row r="582" spans="1:8" x14ac:dyDescent="0.25">
      <c r="A582" t="s">
        <v>146</v>
      </c>
      <c r="B582" t="b">
        <v>0</v>
      </c>
      <c r="D582" s="715" t="str">
        <v>CPPS-350</v>
      </c>
      <c r="E582" s="715">
        <v>60</v>
      </c>
      <c r="F582" s="715">
        <v>54</v>
      </c>
      <c r="G582" s="714"/>
      <c r="H582" s="715">
        <v>120</v>
      </c>
    </row>
    <row r="583" spans="1:8" x14ac:dyDescent="0.25">
      <c r="A583" t="s">
        <v>143</v>
      </c>
      <c r="B583" t="b">
        <v>0</v>
      </c>
      <c r="D583" s="715" t="str">
        <v>CPPS-406</v>
      </c>
      <c r="E583" s="715">
        <v>75</v>
      </c>
      <c r="F583" s="715">
        <v>60</v>
      </c>
      <c r="G583" s="714"/>
      <c r="H583" s="715">
        <v>140</v>
      </c>
    </row>
    <row r="584" spans="1:8" x14ac:dyDescent="0.25">
      <c r="A584" t="s">
        <v>142</v>
      </c>
      <c r="B584" t="b">
        <v>1</v>
      </c>
      <c r="D584" s="715" t="str">
        <v>CPPS-507</v>
      </c>
      <c r="E584" s="715">
        <v>100</v>
      </c>
      <c r="F584" s="715">
        <v>66</v>
      </c>
      <c r="G584" s="714"/>
      <c r="H584" s="715">
        <v>160</v>
      </c>
    </row>
    <row r="585" spans="1:8" x14ac:dyDescent="0.25">
      <c r="A585" t="s">
        <v>141</v>
      </c>
      <c r="B585" t="b">
        <v>0</v>
      </c>
      <c r="D585" s="715" t="str">
        <v>SPGPS-810</v>
      </c>
      <c r="E585" s="715">
        <v>125</v>
      </c>
      <c r="F585" s="715">
        <v>72</v>
      </c>
      <c r="G585" s="714"/>
      <c r="H585" s="715">
        <v>200</v>
      </c>
    </row>
    <row r="586" spans="1:8" x14ac:dyDescent="0.25">
      <c r="A586" t="s">
        <v>140</v>
      </c>
      <c r="B586" t="b">
        <v>0</v>
      </c>
      <c r="D586" s="715"/>
      <c r="E586" s="715"/>
      <c r="F586" s="715">
        <v>78</v>
      </c>
      <c r="G586" s="714"/>
      <c r="H586" s="715"/>
    </row>
    <row r="587" spans="1:8" x14ac:dyDescent="0.25">
      <c r="A587" t="s">
        <v>139</v>
      </c>
      <c r="B587" t="b">
        <v>1</v>
      </c>
      <c r="D587" s="715"/>
      <c r="E587" s="715"/>
      <c r="F587" s="715"/>
      <c r="G587" s="714"/>
      <c r="H587" s="715"/>
    </row>
    <row r="588" spans="1:8" x14ac:dyDescent="0.25">
      <c r="D588" s="715"/>
      <c r="E588" s="715"/>
      <c r="F588" s="715"/>
      <c r="G588" s="714"/>
      <c r="H588" s="715"/>
    </row>
    <row r="589" spans="1:8" x14ac:dyDescent="0.25">
      <c r="D589" s="715"/>
      <c r="E589" s="715"/>
      <c r="F589" s="715"/>
      <c r="G589" s="714"/>
      <c r="H589" s="715"/>
    </row>
    <row r="590" spans="1:8" x14ac:dyDescent="0.25">
      <c r="D590" s="715"/>
      <c r="E590" s="715"/>
      <c r="F590" s="715"/>
      <c r="G590" s="714"/>
      <c r="H590" s="715"/>
    </row>
    <row r="591" spans="1:8" x14ac:dyDescent="0.25">
      <c r="D591" s="715"/>
      <c r="E591" s="715"/>
      <c r="F591" s="715"/>
      <c r="G591" s="714"/>
      <c r="H591" s="715"/>
    </row>
    <row r="594" spans="1:12" x14ac:dyDescent="0.25">
      <c r="A594" t="s">
        <v>160</v>
      </c>
      <c r="B594" t="s">
        <v>447</v>
      </c>
    </row>
    <row r="595" spans="1:12" x14ac:dyDescent="0.25">
      <c r="A595" t="s">
        <v>150</v>
      </c>
      <c r="B595">
        <v>6</v>
      </c>
    </row>
    <row r="596" spans="1:12" x14ac:dyDescent="0.25">
      <c r="A596" t="s">
        <v>150</v>
      </c>
      <c r="B596">
        <v>12</v>
      </c>
    </row>
    <row r="597" spans="1:12" x14ac:dyDescent="0.25">
      <c r="A597" t="s">
        <v>150</v>
      </c>
      <c r="B597">
        <v>18</v>
      </c>
    </row>
    <row r="598" spans="1:12" x14ac:dyDescent="0.25">
      <c r="A598" t="s">
        <v>150</v>
      </c>
      <c r="B598">
        <v>24</v>
      </c>
      <c r="E598" t="s">
        <v>160</v>
      </c>
      <c r="F598" t="s">
        <v>100</v>
      </c>
      <c r="G598" t="s">
        <v>1392</v>
      </c>
      <c r="J598" t="s">
        <v>160</v>
      </c>
      <c r="K598" t="s">
        <v>100</v>
      </c>
      <c r="L598" t="s">
        <v>1112</v>
      </c>
    </row>
    <row r="599" spans="1:12" x14ac:dyDescent="0.25">
      <c r="A599" t="s">
        <v>150</v>
      </c>
      <c r="B599">
        <v>30</v>
      </c>
      <c r="E599" t="s">
        <v>150</v>
      </c>
      <c r="F599">
        <v>2</v>
      </c>
      <c r="G599" s="39">
        <v>7.8E-2</v>
      </c>
      <c r="J599" t="s">
        <v>150</v>
      </c>
      <c r="K599">
        <v>2</v>
      </c>
      <c r="L599">
        <v>69</v>
      </c>
    </row>
    <row r="600" spans="1:12" x14ac:dyDescent="0.25">
      <c r="A600" t="s">
        <v>149</v>
      </c>
      <c r="B600">
        <v>6</v>
      </c>
      <c r="E600" t="s">
        <v>150</v>
      </c>
      <c r="F600">
        <v>3</v>
      </c>
      <c r="G600" s="39">
        <v>0.112</v>
      </c>
      <c r="J600" t="s">
        <v>150</v>
      </c>
      <c r="K600">
        <v>2</v>
      </c>
      <c r="L600">
        <v>103</v>
      </c>
    </row>
    <row r="601" spans="1:12" x14ac:dyDescent="0.25">
      <c r="A601" t="s">
        <v>149</v>
      </c>
      <c r="B601">
        <v>12</v>
      </c>
      <c r="E601" t="s">
        <v>149</v>
      </c>
      <c r="F601">
        <v>3</v>
      </c>
      <c r="G601" s="39">
        <v>0.112</v>
      </c>
      <c r="J601" t="s">
        <v>150</v>
      </c>
      <c r="K601">
        <v>2</v>
      </c>
      <c r="L601">
        <v>137</v>
      </c>
    </row>
    <row r="602" spans="1:12" x14ac:dyDescent="0.25">
      <c r="A602" t="s">
        <v>149</v>
      </c>
      <c r="B602">
        <v>18</v>
      </c>
      <c r="E602" t="s">
        <v>149</v>
      </c>
      <c r="F602">
        <v>5</v>
      </c>
      <c r="G602" s="39">
        <v>0.14199999999999999</v>
      </c>
      <c r="J602" t="s">
        <v>150</v>
      </c>
      <c r="K602">
        <v>3</v>
      </c>
      <c r="L602">
        <v>69</v>
      </c>
    </row>
    <row r="603" spans="1:12" x14ac:dyDescent="0.25">
      <c r="A603" t="s">
        <v>149</v>
      </c>
      <c r="B603">
        <v>24</v>
      </c>
      <c r="E603" t="s">
        <v>149</v>
      </c>
      <c r="F603">
        <v>7.5</v>
      </c>
      <c r="G603" s="39">
        <v>0.32</v>
      </c>
      <c r="J603" t="s">
        <v>150</v>
      </c>
      <c r="K603">
        <v>3</v>
      </c>
      <c r="L603">
        <v>103</v>
      </c>
    </row>
    <row r="604" spans="1:12" x14ac:dyDescent="0.25">
      <c r="A604" t="s">
        <v>149</v>
      </c>
      <c r="B604">
        <v>30</v>
      </c>
      <c r="E604" t="s">
        <v>147</v>
      </c>
      <c r="F604">
        <v>20</v>
      </c>
      <c r="G604" s="39">
        <v>0.84599999999999997</v>
      </c>
      <c r="J604" t="s">
        <v>150</v>
      </c>
      <c r="K604">
        <v>3</v>
      </c>
      <c r="L604">
        <v>137</v>
      </c>
    </row>
    <row r="605" spans="1:12" x14ac:dyDescent="0.25">
      <c r="A605" t="s">
        <v>149</v>
      </c>
      <c r="B605">
        <v>36</v>
      </c>
      <c r="E605" t="s">
        <v>147</v>
      </c>
      <c r="F605">
        <v>25</v>
      </c>
      <c r="G605" s="39">
        <v>1.6619999999999999</v>
      </c>
      <c r="J605" t="s">
        <v>149</v>
      </c>
      <c r="K605">
        <v>3</v>
      </c>
      <c r="L605">
        <v>42</v>
      </c>
    </row>
    <row r="606" spans="1:12" x14ac:dyDescent="0.25">
      <c r="A606" t="s">
        <v>149</v>
      </c>
      <c r="B606">
        <v>42</v>
      </c>
      <c r="E606" t="s">
        <v>147</v>
      </c>
      <c r="F606">
        <v>30</v>
      </c>
      <c r="G606" s="39">
        <v>1.778</v>
      </c>
      <c r="J606" t="s">
        <v>149</v>
      </c>
      <c r="K606">
        <v>3</v>
      </c>
      <c r="L606">
        <v>65</v>
      </c>
    </row>
    <row r="607" spans="1:12" x14ac:dyDescent="0.25">
      <c r="A607" t="s">
        <v>149</v>
      </c>
      <c r="B607">
        <v>48</v>
      </c>
      <c r="E607" t="s">
        <v>147</v>
      </c>
      <c r="F607">
        <v>40</v>
      </c>
      <c r="G607" s="39">
        <v>3.1789999999999998</v>
      </c>
      <c r="J607" t="s">
        <v>149</v>
      </c>
      <c r="K607">
        <v>3</v>
      </c>
      <c r="L607">
        <v>85</v>
      </c>
    </row>
    <row r="608" spans="1:12" x14ac:dyDescent="0.25">
      <c r="A608" t="s">
        <v>147</v>
      </c>
      <c r="B608">
        <v>18</v>
      </c>
      <c r="E608" t="s">
        <v>147</v>
      </c>
      <c r="F608">
        <v>50</v>
      </c>
      <c r="G608" s="39">
        <v>3.8759999999999999</v>
      </c>
      <c r="J608" t="s">
        <v>149</v>
      </c>
      <c r="K608">
        <v>3</v>
      </c>
      <c r="L608">
        <v>105</v>
      </c>
    </row>
    <row r="609" spans="1:12" x14ac:dyDescent="0.25">
      <c r="A609" t="s">
        <v>147</v>
      </c>
      <c r="B609">
        <v>24</v>
      </c>
      <c r="E609" t="s">
        <v>148</v>
      </c>
      <c r="F609">
        <v>5</v>
      </c>
      <c r="G609" s="39">
        <v>0.14199999999999999</v>
      </c>
      <c r="J609" t="s">
        <v>149</v>
      </c>
      <c r="K609">
        <v>3</v>
      </c>
      <c r="L609">
        <v>165</v>
      </c>
    </row>
    <row r="610" spans="1:12" x14ac:dyDescent="0.25">
      <c r="A610" t="s">
        <v>147</v>
      </c>
      <c r="B610">
        <v>30</v>
      </c>
      <c r="E610" t="s">
        <v>148</v>
      </c>
      <c r="F610">
        <v>7.5</v>
      </c>
      <c r="G610" s="39">
        <v>0.32</v>
      </c>
      <c r="J610" t="s">
        <v>149</v>
      </c>
      <c r="K610">
        <v>5</v>
      </c>
      <c r="L610">
        <v>42</v>
      </c>
    </row>
    <row r="611" spans="1:12" x14ac:dyDescent="0.25">
      <c r="A611" t="s">
        <v>147</v>
      </c>
      <c r="B611">
        <v>36</v>
      </c>
      <c r="E611" t="s">
        <v>148</v>
      </c>
      <c r="F611">
        <v>10</v>
      </c>
      <c r="G611" s="39">
        <v>0.44</v>
      </c>
      <c r="J611" t="s">
        <v>149</v>
      </c>
      <c r="K611">
        <v>5</v>
      </c>
      <c r="L611">
        <v>65</v>
      </c>
    </row>
    <row r="612" spans="1:12" x14ac:dyDescent="0.25">
      <c r="A612" t="s">
        <v>147</v>
      </c>
      <c r="B612">
        <v>42</v>
      </c>
      <c r="E612" t="s">
        <v>148</v>
      </c>
      <c r="F612">
        <v>15</v>
      </c>
      <c r="G612" s="39">
        <v>0.68600000000000005</v>
      </c>
      <c r="J612" t="s">
        <v>149</v>
      </c>
      <c r="K612">
        <v>5</v>
      </c>
      <c r="L612">
        <v>85</v>
      </c>
    </row>
    <row r="613" spans="1:12" x14ac:dyDescent="0.25">
      <c r="A613" t="s">
        <v>147</v>
      </c>
      <c r="B613">
        <v>48</v>
      </c>
      <c r="E613" t="s">
        <v>148</v>
      </c>
      <c r="F613">
        <v>20</v>
      </c>
      <c r="G613" s="39">
        <v>0.84599999999999997</v>
      </c>
      <c r="J613" t="s">
        <v>149</v>
      </c>
      <c r="K613">
        <v>5</v>
      </c>
      <c r="L613">
        <v>105</v>
      </c>
    </row>
    <row r="614" spans="1:12" x14ac:dyDescent="0.25">
      <c r="A614" t="s">
        <v>147</v>
      </c>
      <c r="B614">
        <v>54</v>
      </c>
      <c r="E614" t="s">
        <v>145</v>
      </c>
      <c r="F614">
        <v>20</v>
      </c>
      <c r="G614" s="39">
        <v>0.84599999999999997</v>
      </c>
      <c r="J614" t="s">
        <v>149</v>
      </c>
      <c r="K614">
        <v>5</v>
      </c>
      <c r="L614">
        <v>165</v>
      </c>
    </row>
    <row r="615" spans="1:12" x14ac:dyDescent="0.25">
      <c r="A615" t="s">
        <v>147</v>
      </c>
      <c r="B615">
        <v>60</v>
      </c>
      <c r="E615" t="s">
        <v>145</v>
      </c>
      <c r="F615">
        <v>25</v>
      </c>
      <c r="G615" s="39">
        <v>1.6619999999999999</v>
      </c>
      <c r="J615" t="s">
        <v>149</v>
      </c>
      <c r="K615">
        <v>7.5</v>
      </c>
      <c r="L615">
        <v>42</v>
      </c>
    </row>
    <row r="616" spans="1:12" x14ac:dyDescent="0.25">
      <c r="A616" t="s">
        <v>147</v>
      </c>
      <c r="B616">
        <v>66</v>
      </c>
      <c r="E616" t="s">
        <v>145</v>
      </c>
      <c r="F616">
        <v>30</v>
      </c>
      <c r="G616" s="39">
        <v>1.778</v>
      </c>
      <c r="J616" t="s">
        <v>149</v>
      </c>
      <c r="K616">
        <v>7.5</v>
      </c>
      <c r="L616">
        <v>65</v>
      </c>
    </row>
    <row r="617" spans="1:12" x14ac:dyDescent="0.25">
      <c r="A617" t="s">
        <v>147</v>
      </c>
      <c r="B617">
        <v>72</v>
      </c>
      <c r="E617" t="s">
        <v>145</v>
      </c>
      <c r="F617">
        <v>40</v>
      </c>
      <c r="G617" s="39">
        <v>3.1789999999999998</v>
      </c>
      <c r="J617" t="s">
        <v>149</v>
      </c>
      <c r="K617">
        <v>7.5</v>
      </c>
      <c r="L617">
        <v>85</v>
      </c>
    </row>
    <row r="618" spans="1:12" x14ac:dyDescent="0.25">
      <c r="A618" t="s">
        <v>148</v>
      </c>
      <c r="B618">
        <v>12</v>
      </c>
      <c r="E618" t="s">
        <v>145</v>
      </c>
      <c r="F618">
        <v>50</v>
      </c>
      <c r="G618" s="39">
        <v>3.8759999999999999</v>
      </c>
      <c r="J618" t="s">
        <v>149</v>
      </c>
      <c r="K618">
        <v>7.5</v>
      </c>
      <c r="L618">
        <v>105</v>
      </c>
    </row>
    <row r="619" spans="1:12" x14ac:dyDescent="0.25">
      <c r="A619" t="s">
        <v>148</v>
      </c>
      <c r="B619">
        <v>18</v>
      </c>
      <c r="E619" t="s">
        <v>145</v>
      </c>
      <c r="F619">
        <v>60</v>
      </c>
      <c r="G619" s="39">
        <v>5.3369999999999997</v>
      </c>
      <c r="J619" t="s">
        <v>149</v>
      </c>
      <c r="K619">
        <v>7.5</v>
      </c>
      <c r="L619">
        <v>165</v>
      </c>
    </row>
    <row r="620" spans="1:12" x14ac:dyDescent="0.25">
      <c r="A620" t="s">
        <v>148</v>
      </c>
      <c r="B620">
        <v>24</v>
      </c>
      <c r="E620" t="s">
        <v>145</v>
      </c>
      <c r="F620">
        <v>75</v>
      </c>
      <c r="G620" s="39">
        <v>5.8550000000000004</v>
      </c>
      <c r="J620" t="s">
        <v>147</v>
      </c>
      <c r="K620">
        <v>20</v>
      </c>
      <c r="L620">
        <v>80</v>
      </c>
    </row>
    <row r="621" spans="1:12" x14ac:dyDescent="0.25">
      <c r="A621" t="s">
        <v>148</v>
      </c>
      <c r="B621">
        <v>30</v>
      </c>
      <c r="E621" t="s">
        <v>146</v>
      </c>
      <c r="F621">
        <v>15</v>
      </c>
      <c r="G621" s="39">
        <v>0.89319999999999999</v>
      </c>
      <c r="J621" t="s">
        <v>147</v>
      </c>
      <c r="K621">
        <v>20</v>
      </c>
      <c r="L621">
        <v>100</v>
      </c>
    </row>
    <row r="622" spans="1:12" x14ac:dyDescent="0.25">
      <c r="A622" t="s">
        <v>148</v>
      </c>
      <c r="B622">
        <v>36</v>
      </c>
      <c r="E622" t="s">
        <v>146</v>
      </c>
      <c r="F622">
        <v>20</v>
      </c>
      <c r="G622" s="39">
        <v>1.0718000000000001</v>
      </c>
      <c r="J622" t="s">
        <v>147</v>
      </c>
      <c r="K622">
        <v>20</v>
      </c>
      <c r="L622">
        <v>120</v>
      </c>
    </row>
    <row r="623" spans="1:12" x14ac:dyDescent="0.25">
      <c r="A623" t="s">
        <v>148</v>
      </c>
      <c r="B623">
        <v>42</v>
      </c>
      <c r="E623" t="s">
        <v>146</v>
      </c>
      <c r="F623">
        <v>25</v>
      </c>
      <c r="G623" s="39">
        <v>1.9157</v>
      </c>
      <c r="J623" t="s">
        <v>147</v>
      </c>
      <c r="K623">
        <v>20</v>
      </c>
      <c r="L623">
        <v>140</v>
      </c>
    </row>
    <row r="624" spans="1:12" x14ac:dyDescent="0.25">
      <c r="A624" t="s">
        <v>148</v>
      </c>
      <c r="B624">
        <v>48</v>
      </c>
      <c r="E624" t="s">
        <v>146</v>
      </c>
      <c r="F624">
        <v>30</v>
      </c>
      <c r="G624" s="39">
        <v>1.9955000000000001</v>
      </c>
      <c r="J624" t="s">
        <v>147</v>
      </c>
      <c r="K624">
        <v>20</v>
      </c>
      <c r="L624">
        <v>160</v>
      </c>
    </row>
    <row r="625" spans="1:12" x14ac:dyDescent="0.25">
      <c r="A625" t="s">
        <v>148</v>
      </c>
      <c r="B625">
        <v>54</v>
      </c>
      <c r="E625" t="s">
        <v>146</v>
      </c>
      <c r="F625">
        <v>40</v>
      </c>
      <c r="G625" s="39">
        <v>2.9449999999999998</v>
      </c>
      <c r="J625" t="s">
        <v>147</v>
      </c>
      <c r="K625">
        <v>20</v>
      </c>
      <c r="L625">
        <v>200</v>
      </c>
    </row>
    <row r="626" spans="1:12" x14ac:dyDescent="0.25">
      <c r="A626" t="s">
        <v>148</v>
      </c>
      <c r="B626">
        <v>60</v>
      </c>
      <c r="E626" t="s">
        <v>146</v>
      </c>
      <c r="F626">
        <v>50</v>
      </c>
      <c r="G626" s="39">
        <v>3.4359999999999999</v>
      </c>
      <c r="J626" t="s">
        <v>147</v>
      </c>
      <c r="K626">
        <v>25</v>
      </c>
      <c r="L626">
        <v>80</v>
      </c>
    </row>
    <row r="627" spans="1:12" x14ac:dyDescent="0.25">
      <c r="A627" t="s">
        <v>145</v>
      </c>
      <c r="B627">
        <v>24</v>
      </c>
      <c r="E627" t="s">
        <v>146</v>
      </c>
      <c r="F627">
        <v>75</v>
      </c>
      <c r="G627" s="39">
        <v>6.5392999999999999</v>
      </c>
      <c r="J627" t="s">
        <v>147</v>
      </c>
      <c r="K627">
        <v>25</v>
      </c>
      <c r="L627">
        <v>100</v>
      </c>
    </row>
    <row r="628" spans="1:12" x14ac:dyDescent="0.25">
      <c r="A628" t="s">
        <v>145</v>
      </c>
      <c r="B628">
        <v>30</v>
      </c>
      <c r="E628" t="s">
        <v>143</v>
      </c>
      <c r="F628">
        <v>40</v>
      </c>
      <c r="G628" s="39">
        <v>3.1789999999999998</v>
      </c>
      <c r="J628" t="s">
        <v>147</v>
      </c>
      <c r="K628">
        <v>25</v>
      </c>
      <c r="L628">
        <v>120</v>
      </c>
    </row>
    <row r="629" spans="1:12" x14ac:dyDescent="0.25">
      <c r="A629" t="s">
        <v>145</v>
      </c>
      <c r="B629">
        <v>36</v>
      </c>
      <c r="E629" t="s">
        <v>143</v>
      </c>
      <c r="F629">
        <v>50</v>
      </c>
      <c r="G629" s="39">
        <v>3.8759999999999999</v>
      </c>
      <c r="J629" t="s">
        <v>147</v>
      </c>
      <c r="K629">
        <v>25</v>
      </c>
      <c r="L629">
        <v>140</v>
      </c>
    </row>
    <row r="630" spans="1:12" x14ac:dyDescent="0.25">
      <c r="A630" t="s">
        <v>145</v>
      </c>
      <c r="B630">
        <v>42</v>
      </c>
      <c r="E630" t="s">
        <v>143</v>
      </c>
      <c r="F630">
        <v>60</v>
      </c>
      <c r="G630" s="39">
        <v>5.3369999999999997</v>
      </c>
      <c r="J630" t="s">
        <v>147</v>
      </c>
      <c r="K630">
        <v>25</v>
      </c>
      <c r="L630">
        <v>160</v>
      </c>
    </row>
    <row r="631" spans="1:12" x14ac:dyDescent="0.25">
      <c r="A631" t="s">
        <v>145</v>
      </c>
      <c r="B631">
        <v>48</v>
      </c>
      <c r="E631" t="s">
        <v>143</v>
      </c>
      <c r="F631">
        <v>75</v>
      </c>
      <c r="G631" s="39">
        <v>5.8550000000000004</v>
      </c>
      <c r="J631" t="s">
        <v>147</v>
      </c>
      <c r="K631">
        <v>25</v>
      </c>
      <c r="L631">
        <v>200</v>
      </c>
    </row>
    <row r="632" spans="1:12" x14ac:dyDescent="0.25">
      <c r="A632" t="s">
        <v>145</v>
      </c>
      <c r="B632">
        <v>54</v>
      </c>
      <c r="E632" t="s">
        <v>143</v>
      </c>
      <c r="F632">
        <v>100</v>
      </c>
      <c r="G632" s="39">
        <v>9.7159999999999993</v>
      </c>
      <c r="J632" t="s">
        <v>147</v>
      </c>
      <c r="K632">
        <v>30</v>
      </c>
      <c r="L632">
        <v>80</v>
      </c>
    </row>
    <row r="633" spans="1:12" x14ac:dyDescent="0.25">
      <c r="A633" t="s">
        <v>145</v>
      </c>
      <c r="B633">
        <v>60</v>
      </c>
      <c r="E633" t="s">
        <v>142</v>
      </c>
      <c r="F633">
        <v>40</v>
      </c>
      <c r="G633" s="39">
        <v>3.1789999999999998</v>
      </c>
      <c r="J633" t="s">
        <v>147</v>
      </c>
      <c r="K633">
        <v>30</v>
      </c>
      <c r="L633">
        <v>100</v>
      </c>
    </row>
    <row r="634" spans="1:12" x14ac:dyDescent="0.25">
      <c r="A634" t="s">
        <v>145</v>
      </c>
      <c r="B634">
        <v>66</v>
      </c>
      <c r="E634" t="s">
        <v>142</v>
      </c>
      <c r="F634">
        <v>50</v>
      </c>
      <c r="G634" s="39">
        <v>3.8759999999999999</v>
      </c>
      <c r="J634" t="s">
        <v>147</v>
      </c>
      <c r="K634">
        <v>30</v>
      </c>
      <c r="L634">
        <v>120</v>
      </c>
    </row>
    <row r="635" spans="1:12" x14ac:dyDescent="0.25">
      <c r="A635" t="s">
        <v>145</v>
      </c>
      <c r="B635">
        <v>72</v>
      </c>
      <c r="E635" t="s">
        <v>142</v>
      </c>
      <c r="F635">
        <v>60</v>
      </c>
      <c r="G635" s="39">
        <v>5.3369999999999997</v>
      </c>
      <c r="J635" t="s">
        <v>147</v>
      </c>
      <c r="K635">
        <v>30</v>
      </c>
      <c r="L635">
        <v>140</v>
      </c>
    </row>
    <row r="636" spans="1:12" x14ac:dyDescent="0.25">
      <c r="A636" t="s">
        <v>145</v>
      </c>
      <c r="B636">
        <v>78</v>
      </c>
      <c r="E636" t="s">
        <v>142</v>
      </c>
      <c r="F636">
        <v>75</v>
      </c>
      <c r="G636" s="39">
        <v>5.8550000000000004</v>
      </c>
      <c r="J636" t="s">
        <v>147</v>
      </c>
      <c r="K636">
        <v>30</v>
      </c>
      <c r="L636">
        <v>160</v>
      </c>
    </row>
    <row r="637" spans="1:12" x14ac:dyDescent="0.25">
      <c r="A637" t="s">
        <v>146</v>
      </c>
      <c r="B637">
        <v>36</v>
      </c>
      <c r="E637" t="s">
        <v>142</v>
      </c>
      <c r="F637">
        <v>100</v>
      </c>
      <c r="G637" s="39">
        <v>9.7159999999999993</v>
      </c>
      <c r="J637" t="s">
        <v>147</v>
      </c>
      <c r="K637">
        <v>30</v>
      </c>
      <c r="L637">
        <v>200</v>
      </c>
    </row>
    <row r="638" spans="1:12" x14ac:dyDescent="0.25">
      <c r="A638" t="s">
        <v>146</v>
      </c>
      <c r="B638">
        <v>42</v>
      </c>
      <c r="E638" t="s">
        <v>142</v>
      </c>
      <c r="F638">
        <v>125</v>
      </c>
      <c r="G638" s="39">
        <v>14.907</v>
      </c>
      <c r="J638" t="s">
        <v>147</v>
      </c>
      <c r="K638">
        <v>40</v>
      </c>
      <c r="L638">
        <v>80</v>
      </c>
    </row>
    <row r="639" spans="1:12" x14ac:dyDescent="0.25">
      <c r="A639" t="s">
        <v>146</v>
      </c>
      <c r="B639">
        <v>48</v>
      </c>
      <c r="E639" t="s">
        <v>141</v>
      </c>
      <c r="F639">
        <v>1</v>
      </c>
      <c r="G639" s="39">
        <v>1</v>
      </c>
      <c r="J639" t="s">
        <v>147</v>
      </c>
      <c r="K639">
        <v>40</v>
      </c>
      <c r="L639">
        <v>100</v>
      </c>
    </row>
    <row r="640" spans="1:12" x14ac:dyDescent="0.25">
      <c r="A640" t="s">
        <v>146</v>
      </c>
      <c r="B640">
        <v>54</v>
      </c>
      <c r="E640" t="s">
        <v>140</v>
      </c>
      <c r="F640">
        <v>1</v>
      </c>
      <c r="G640" s="39">
        <v>1</v>
      </c>
      <c r="J640" t="s">
        <v>147</v>
      </c>
      <c r="K640">
        <v>40</v>
      </c>
      <c r="L640">
        <v>120</v>
      </c>
    </row>
    <row r="641" spans="1:12" x14ac:dyDescent="0.25">
      <c r="A641" t="s">
        <v>146</v>
      </c>
      <c r="B641">
        <v>60</v>
      </c>
      <c r="E641" t="s">
        <v>139</v>
      </c>
      <c r="F641">
        <v>40</v>
      </c>
      <c r="G641" s="39">
        <v>3.1789999999999998</v>
      </c>
      <c r="J641" t="s">
        <v>147</v>
      </c>
      <c r="K641">
        <v>40</v>
      </c>
      <c r="L641">
        <v>140</v>
      </c>
    </row>
    <row r="642" spans="1:12" x14ac:dyDescent="0.25">
      <c r="A642" t="s">
        <v>146</v>
      </c>
      <c r="B642">
        <v>66</v>
      </c>
      <c r="E642" t="s">
        <v>139</v>
      </c>
      <c r="F642">
        <v>50</v>
      </c>
      <c r="G642" s="39">
        <v>3.8759999999999999</v>
      </c>
      <c r="J642" t="s">
        <v>147</v>
      </c>
      <c r="K642">
        <v>40</v>
      </c>
      <c r="L642">
        <v>160</v>
      </c>
    </row>
    <row r="643" spans="1:12" x14ac:dyDescent="0.25">
      <c r="A643" t="s">
        <v>146</v>
      </c>
      <c r="B643">
        <v>72</v>
      </c>
      <c r="E643" t="s">
        <v>139</v>
      </c>
      <c r="F643">
        <v>60</v>
      </c>
      <c r="G643" s="39">
        <v>5.3369999999999997</v>
      </c>
      <c r="J643" t="s">
        <v>147</v>
      </c>
      <c r="K643">
        <v>40</v>
      </c>
      <c r="L643">
        <v>200</v>
      </c>
    </row>
    <row r="644" spans="1:12" x14ac:dyDescent="0.25">
      <c r="A644" t="s">
        <v>146</v>
      </c>
      <c r="B644">
        <v>78</v>
      </c>
      <c r="E644" t="s">
        <v>139</v>
      </c>
      <c r="F644">
        <v>75</v>
      </c>
      <c r="G644" s="39">
        <v>5.8550000000000004</v>
      </c>
      <c r="J644" t="s">
        <v>147</v>
      </c>
      <c r="K644">
        <v>50</v>
      </c>
      <c r="L644">
        <v>80</v>
      </c>
    </row>
    <row r="645" spans="1:12" x14ac:dyDescent="0.25">
      <c r="A645" t="s">
        <v>143</v>
      </c>
      <c r="B645">
        <v>24</v>
      </c>
      <c r="E645" t="s">
        <v>139</v>
      </c>
      <c r="F645">
        <v>100</v>
      </c>
      <c r="G645" s="39">
        <v>9.7159999999999993</v>
      </c>
      <c r="J645" t="s">
        <v>147</v>
      </c>
      <c r="K645">
        <v>50</v>
      </c>
      <c r="L645">
        <v>100</v>
      </c>
    </row>
    <row r="646" spans="1:12" x14ac:dyDescent="0.25">
      <c r="A646" t="s">
        <v>143</v>
      </c>
      <c r="B646">
        <v>30</v>
      </c>
      <c r="E646" t="s">
        <v>139</v>
      </c>
      <c r="F646">
        <v>125</v>
      </c>
      <c r="G646" s="39">
        <v>14.907</v>
      </c>
      <c r="J646" t="s">
        <v>147</v>
      </c>
      <c r="K646">
        <v>50</v>
      </c>
      <c r="L646">
        <v>120</v>
      </c>
    </row>
    <row r="647" spans="1:12" x14ac:dyDescent="0.25">
      <c r="A647" t="s">
        <v>143</v>
      </c>
      <c r="B647">
        <v>36</v>
      </c>
      <c r="J647" t="s">
        <v>147</v>
      </c>
      <c r="K647">
        <v>50</v>
      </c>
      <c r="L647">
        <v>140</v>
      </c>
    </row>
    <row r="648" spans="1:12" x14ac:dyDescent="0.25">
      <c r="A648" t="s">
        <v>143</v>
      </c>
      <c r="B648">
        <v>42</v>
      </c>
      <c r="J648" t="s">
        <v>147</v>
      </c>
      <c r="K648">
        <v>50</v>
      </c>
      <c r="L648">
        <v>160</v>
      </c>
    </row>
    <row r="649" spans="1:12" x14ac:dyDescent="0.25">
      <c r="A649" t="s">
        <v>143</v>
      </c>
      <c r="B649">
        <v>48</v>
      </c>
      <c r="J649" t="s">
        <v>147</v>
      </c>
      <c r="K649">
        <v>50</v>
      </c>
      <c r="L649">
        <v>200</v>
      </c>
    </row>
    <row r="650" spans="1:12" x14ac:dyDescent="0.25">
      <c r="A650" t="s">
        <v>143</v>
      </c>
      <c r="B650">
        <v>54</v>
      </c>
      <c r="J650" t="s">
        <v>148</v>
      </c>
      <c r="K650">
        <v>5</v>
      </c>
      <c r="L650">
        <v>57</v>
      </c>
    </row>
    <row r="651" spans="1:12" x14ac:dyDescent="0.25">
      <c r="A651" t="s">
        <v>143</v>
      </c>
      <c r="B651">
        <v>60</v>
      </c>
      <c r="J651" t="s">
        <v>148</v>
      </c>
      <c r="K651">
        <v>5</v>
      </c>
      <c r="L651">
        <v>76</v>
      </c>
    </row>
    <row r="652" spans="1:12" x14ac:dyDescent="0.25">
      <c r="A652" t="s">
        <v>143</v>
      </c>
      <c r="B652">
        <v>66</v>
      </c>
      <c r="J652" t="s">
        <v>148</v>
      </c>
      <c r="K652">
        <v>5</v>
      </c>
      <c r="L652">
        <v>92</v>
      </c>
    </row>
    <row r="653" spans="1:12" x14ac:dyDescent="0.25">
      <c r="A653" t="s">
        <v>143</v>
      </c>
      <c r="B653">
        <v>72</v>
      </c>
      <c r="J653" t="s">
        <v>148</v>
      </c>
      <c r="K653">
        <v>5</v>
      </c>
      <c r="L653">
        <v>115</v>
      </c>
    </row>
    <row r="654" spans="1:12" x14ac:dyDescent="0.25">
      <c r="A654" t="s">
        <v>143</v>
      </c>
      <c r="B654">
        <v>78</v>
      </c>
      <c r="J654" t="s">
        <v>148</v>
      </c>
      <c r="K654">
        <v>5</v>
      </c>
      <c r="L654">
        <v>153</v>
      </c>
    </row>
    <row r="655" spans="1:12" x14ac:dyDescent="0.25">
      <c r="A655" t="s">
        <v>142</v>
      </c>
      <c r="B655">
        <v>24</v>
      </c>
      <c r="J655" t="s">
        <v>148</v>
      </c>
      <c r="K655">
        <v>7.5</v>
      </c>
      <c r="L655">
        <v>65</v>
      </c>
    </row>
    <row r="656" spans="1:12" x14ac:dyDescent="0.25">
      <c r="A656" t="s">
        <v>142</v>
      </c>
      <c r="B656">
        <v>30</v>
      </c>
      <c r="J656" t="s">
        <v>148</v>
      </c>
      <c r="K656">
        <v>7.5</v>
      </c>
      <c r="L656">
        <v>76</v>
      </c>
    </row>
    <row r="657" spans="1:12" x14ac:dyDescent="0.25">
      <c r="A657" t="s">
        <v>142</v>
      </c>
      <c r="B657">
        <v>36</v>
      </c>
      <c r="J657" t="s">
        <v>148</v>
      </c>
      <c r="K657">
        <v>7.5</v>
      </c>
      <c r="L657">
        <v>92</v>
      </c>
    </row>
    <row r="658" spans="1:12" x14ac:dyDescent="0.25">
      <c r="A658" t="s">
        <v>142</v>
      </c>
      <c r="B658">
        <v>42</v>
      </c>
      <c r="J658" t="s">
        <v>148</v>
      </c>
      <c r="K658">
        <v>7.5</v>
      </c>
      <c r="L658">
        <v>115</v>
      </c>
    </row>
    <row r="659" spans="1:12" x14ac:dyDescent="0.25">
      <c r="A659" t="s">
        <v>142</v>
      </c>
      <c r="B659">
        <v>48</v>
      </c>
      <c r="J659" t="s">
        <v>148</v>
      </c>
      <c r="K659">
        <v>7.5</v>
      </c>
      <c r="L659">
        <v>153</v>
      </c>
    </row>
    <row r="660" spans="1:12" x14ac:dyDescent="0.25">
      <c r="A660" t="s">
        <v>142</v>
      </c>
      <c r="B660">
        <v>54</v>
      </c>
      <c r="J660" t="s">
        <v>148</v>
      </c>
      <c r="K660">
        <v>10</v>
      </c>
      <c r="L660">
        <v>65</v>
      </c>
    </row>
    <row r="661" spans="1:12" x14ac:dyDescent="0.25">
      <c r="A661" t="s">
        <v>142</v>
      </c>
      <c r="B661">
        <v>60</v>
      </c>
      <c r="J661" t="s">
        <v>148</v>
      </c>
      <c r="K661">
        <v>10</v>
      </c>
      <c r="L661">
        <v>79</v>
      </c>
    </row>
    <row r="662" spans="1:12" x14ac:dyDescent="0.25">
      <c r="A662" t="s">
        <v>142</v>
      </c>
      <c r="B662">
        <v>66</v>
      </c>
      <c r="J662" t="s">
        <v>148</v>
      </c>
      <c r="K662">
        <v>10</v>
      </c>
      <c r="L662">
        <v>95</v>
      </c>
    </row>
    <row r="663" spans="1:12" x14ac:dyDescent="0.25">
      <c r="A663" t="s">
        <v>142</v>
      </c>
      <c r="B663">
        <v>72</v>
      </c>
      <c r="J663" t="s">
        <v>148</v>
      </c>
      <c r="K663">
        <v>10</v>
      </c>
      <c r="L663">
        <v>115</v>
      </c>
    </row>
    <row r="664" spans="1:12" x14ac:dyDescent="0.25">
      <c r="A664" t="s">
        <v>142</v>
      </c>
      <c r="B664">
        <v>78</v>
      </c>
      <c r="J664" t="s">
        <v>148</v>
      </c>
      <c r="K664">
        <v>10</v>
      </c>
      <c r="L664">
        <v>153</v>
      </c>
    </row>
    <row r="665" spans="1:12" x14ac:dyDescent="0.25">
      <c r="A665" t="s">
        <v>141</v>
      </c>
      <c r="B665">
        <v>42</v>
      </c>
      <c r="J665" t="s">
        <v>148</v>
      </c>
      <c r="K665">
        <v>15</v>
      </c>
      <c r="L665">
        <v>69</v>
      </c>
    </row>
    <row r="666" spans="1:12" x14ac:dyDescent="0.25">
      <c r="A666" t="s">
        <v>141</v>
      </c>
      <c r="B666">
        <v>48</v>
      </c>
      <c r="J666" t="s">
        <v>148</v>
      </c>
      <c r="K666">
        <v>15</v>
      </c>
      <c r="L666">
        <v>84</v>
      </c>
    </row>
    <row r="667" spans="1:12" x14ac:dyDescent="0.25">
      <c r="A667" t="s">
        <v>141</v>
      </c>
      <c r="B667">
        <v>72</v>
      </c>
      <c r="J667" t="s">
        <v>148</v>
      </c>
      <c r="K667">
        <v>15</v>
      </c>
      <c r="L667">
        <v>95</v>
      </c>
    </row>
    <row r="668" spans="1:12" x14ac:dyDescent="0.25">
      <c r="A668" t="s">
        <v>140</v>
      </c>
      <c r="B668">
        <v>42</v>
      </c>
      <c r="J668" t="s">
        <v>148</v>
      </c>
      <c r="K668">
        <v>15</v>
      </c>
      <c r="L668">
        <v>122</v>
      </c>
    </row>
    <row r="669" spans="1:12" x14ac:dyDescent="0.25">
      <c r="A669" t="s">
        <v>140</v>
      </c>
      <c r="B669">
        <v>48</v>
      </c>
      <c r="J669" t="s">
        <v>148</v>
      </c>
      <c r="K669">
        <v>15</v>
      </c>
      <c r="L669">
        <v>157</v>
      </c>
    </row>
    <row r="670" spans="1:12" x14ac:dyDescent="0.25">
      <c r="A670" t="s">
        <v>140</v>
      </c>
      <c r="B670">
        <v>66</v>
      </c>
      <c r="J670" t="s">
        <v>148</v>
      </c>
      <c r="K670">
        <v>15</v>
      </c>
      <c r="L670">
        <v>177</v>
      </c>
    </row>
    <row r="671" spans="1:12" x14ac:dyDescent="0.25">
      <c r="A671" t="s">
        <v>140</v>
      </c>
      <c r="B671">
        <v>78</v>
      </c>
      <c r="J671" t="s">
        <v>148</v>
      </c>
      <c r="K671">
        <v>20</v>
      </c>
      <c r="L671">
        <v>73</v>
      </c>
    </row>
    <row r="672" spans="1:12" x14ac:dyDescent="0.25">
      <c r="A672" t="s">
        <v>139</v>
      </c>
      <c r="B672">
        <v>24</v>
      </c>
      <c r="J672" t="s">
        <v>148</v>
      </c>
      <c r="K672">
        <v>20</v>
      </c>
      <c r="L672">
        <v>101</v>
      </c>
    </row>
    <row r="673" spans="1:12" x14ac:dyDescent="0.25">
      <c r="A673" t="s">
        <v>139</v>
      </c>
      <c r="B673">
        <v>48</v>
      </c>
      <c r="J673" t="s">
        <v>148</v>
      </c>
      <c r="K673">
        <v>20</v>
      </c>
      <c r="L673">
        <v>116</v>
      </c>
    </row>
    <row r="674" spans="1:12" x14ac:dyDescent="0.25">
      <c r="A674" t="s">
        <v>139</v>
      </c>
      <c r="B674">
        <v>52</v>
      </c>
      <c r="J674" t="s">
        <v>148</v>
      </c>
      <c r="K674">
        <v>20</v>
      </c>
      <c r="L674">
        <v>146</v>
      </c>
    </row>
    <row r="675" spans="1:12" x14ac:dyDescent="0.25">
      <c r="A675" t="s">
        <v>139</v>
      </c>
      <c r="B675">
        <v>60</v>
      </c>
      <c r="J675" t="s">
        <v>148</v>
      </c>
      <c r="K675">
        <v>20</v>
      </c>
      <c r="L675">
        <v>224</v>
      </c>
    </row>
    <row r="676" spans="1:12" x14ac:dyDescent="0.25">
      <c r="A676" t="s">
        <v>139</v>
      </c>
      <c r="B676">
        <v>78</v>
      </c>
      <c r="J676" t="s">
        <v>145</v>
      </c>
      <c r="K676">
        <v>20</v>
      </c>
      <c r="L676">
        <v>80</v>
      </c>
    </row>
    <row r="677" spans="1:12" x14ac:dyDescent="0.25">
      <c r="J677" t="s">
        <v>145</v>
      </c>
      <c r="K677">
        <v>20</v>
      </c>
      <c r="L677">
        <v>100</v>
      </c>
    </row>
    <row r="678" spans="1:12" x14ac:dyDescent="0.25">
      <c r="J678" t="s">
        <v>145</v>
      </c>
      <c r="K678">
        <v>20</v>
      </c>
      <c r="L678">
        <v>120</v>
      </c>
    </row>
    <row r="679" spans="1:12" x14ac:dyDescent="0.25">
      <c r="J679" t="s">
        <v>145</v>
      </c>
      <c r="K679">
        <v>20</v>
      </c>
      <c r="L679">
        <v>140</v>
      </c>
    </row>
    <row r="680" spans="1:12" x14ac:dyDescent="0.25">
      <c r="J680" t="s">
        <v>145</v>
      </c>
      <c r="K680">
        <v>20</v>
      </c>
      <c r="L680">
        <v>160</v>
      </c>
    </row>
    <row r="681" spans="1:12" x14ac:dyDescent="0.25">
      <c r="J681" t="s">
        <v>145</v>
      </c>
      <c r="K681">
        <v>20</v>
      </c>
      <c r="L681">
        <v>200</v>
      </c>
    </row>
    <row r="682" spans="1:12" x14ac:dyDescent="0.25">
      <c r="J682" t="s">
        <v>145</v>
      </c>
      <c r="K682">
        <v>25</v>
      </c>
      <c r="L682">
        <v>80</v>
      </c>
    </row>
    <row r="683" spans="1:12" x14ac:dyDescent="0.25">
      <c r="J683" t="s">
        <v>145</v>
      </c>
      <c r="K683">
        <v>25</v>
      </c>
      <c r="L683">
        <v>100</v>
      </c>
    </row>
    <row r="684" spans="1:12" x14ac:dyDescent="0.25">
      <c r="J684" t="s">
        <v>145</v>
      </c>
      <c r="K684">
        <v>25</v>
      </c>
      <c r="L684">
        <v>120</v>
      </c>
    </row>
    <row r="685" spans="1:12" x14ac:dyDescent="0.25">
      <c r="J685" t="s">
        <v>145</v>
      </c>
      <c r="K685">
        <v>25</v>
      </c>
      <c r="L685">
        <v>140</v>
      </c>
    </row>
    <row r="686" spans="1:12" x14ac:dyDescent="0.25">
      <c r="J686" t="s">
        <v>145</v>
      </c>
      <c r="K686">
        <v>25</v>
      </c>
      <c r="L686">
        <v>160</v>
      </c>
    </row>
    <row r="687" spans="1:12" x14ac:dyDescent="0.25">
      <c r="J687" t="s">
        <v>145</v>
      </c>
      <c r="K687">
        <v>25</v>
      </c>
      <c r="L687">
        <v>200</v>
      </c>
    </row>
    <row r="688" spans="1:12" x14ac:dyDescent="0.25">
      <c r="E688" s="709"/>
      <c r="J688" t="s">
        <v>145</v>
      </c>
      <c r="K688">
        <v>30</v>
      </c>
      <c r="L688">
        <v>80</v>
      </c>
    </row>
    <row r="689" spans="5:12" x14ac:dyDescent="0.25">
      <c r="E689" s="709"/>
      <c r="J689" t="s">
        <v>145</v>
      </c>
      <c r="K689">
        <v>30</v>
      </c>
      <c r="L689">
        <v>100</v>
      </c>
    </row>
    <row r="690" spans="5:12" x14ac:dyDescent="0.25">
      <c r="E690" s="709"/>
      <c r="J690" t="s">
        <v>145</v>
      </c>
      <c r="K690">
        <v>30</v>
      </c>
      <c r="L690">
        <v>120</v>
      </c>
    </row>
    <row r="691" spans="5:12" x14ac:dyDescent="0.25">
      <c r="E691" s="709"/>
      <c r="J691" t="s">
        <v>145</v>
      </c>
      <c r="K691">
        <v>30</v>
      </c>
      <c r="L691">
        <v>140</v>
      </c>
    </row>
    <row r="692" spans="5:12" x14ac:dyDescent="0.25">
      <c r="E692" s="709"/>
      <c r="J692" t="s">
        <v>145</v>
      </c>
      <c r="K692">
        <v>30</v>
      </c>
      <c r="L692">
        <v>160</v>
      </c>
    </row>
    <row r="693" spans="5:12" x14ac:dyDescent="0.25">
      <c r="E693" s="709"/>
      <c r="J693" t="s">
        <v>145</v>
      </c>
      <c r="K693">
        <v>30</v>
      </c>
      <c r="L693">
        <v>200</v>
      </c>
    </row>
    <row r="694" spans="5:12" x14ac:dyDescent="0.25">
      <c r="E694" s="449"/>
      <c r="J694" t="s">
        <v>145</v>
      </c>
      <c r="K694">
        <v>40</v>
      </c>
      <c r="L694">
        <v>80</v>
      </c>
    </row>
    <row r="695" spans="5:12" x14ac:dyDescent="0.25">
      <c r="E695" s="449"/>
      <c r="J695" t="s">
        <v>145</v>
      </c>
      <c r="K695">
        <v>40</v>
      </c>
      <c r="L695">
        <v>100</v>
      </c>
    </row>
    <row r="696" spans="5:12" x14ac:dyDescent="0.25">
      <c r="E696" s="449"/>
      <c r="J696" t="s">
        <v>145</v>
      </c>
      <c r="K696">
        <v>40</v>
      </c>
      <c r="L696">
        <v>120</v>
      </c>
    </row>
    <row r="697" spans="5:12" x14ac:dyDescent="0.25">
      <c r="E697" s="449"/>
      <c r="J697" t="s">
        <v>145</v>
      </c>
      <c r="K697">
        <v>40</v>
      </c>
      <c r="L697">
        <v>140</v>
      </c>
    </row>
    <row r="698" spans="5:12" x14ac:dyDescent="0.25">
      <c r="E698" s="449"/>
      <c r="J698" t="s">
        <v>145</v>
      </c>
      <c r="K698">
        <v>40</v>
      </c>
      <c r="L698">
        <v>160</v>
      </c>
    </row>
    <row r="699" spans="5:12" x14ac:dyDescent="0.25">
      <c r="E699" s="449"/>
      <c r="J699" t="s">
        <v>145</v>
      </c>
      <c r="K699">
        <v>40</v>
      </c>
      <c r="L699">
        <v>200</v>
      </c>
    </row>
    <row r="700" spans="5:12" x14ac:dyDescent="0.25">
      <c r="E700" s="449"/>
      <c r="J700" t="s">
        <v>145</v>
      </c>
      <c r="K700">
        <v>50</v>
      </c>
      <c r="L700">
        <v>80</v>
      </c>
    </row>
    <row r="701" spans="5:12" x14ac:dyDescent="0.25">
      <c r="E701" s="449"/>
      <c r="J701" t="s">
        <v>145</v>
      </c>
      <c r="K701">
        <v>50</v>
      </c>
      <c r="L701">
        <v>100</v>
      </c>
    </row>
    <row r="702" spans="5:12" x14ac:dyDescent="0.25">
      <c r="E702" s="449"/>
      <c r="J702" t="s">
        <v>145</v>
      </c>
      <c r="K702">
        <v>50</v>
      </c>
      <c r="L702">
        <v>120</v>
      </c>
    </row>
    <row r="703" spans="5:12" x14ac:dyDescent="0.25">
      <c r="E703" s="449"/>
      <c r="J703" t="s">
        <v>145</v>
      </c>
      <c r="K703">
        <v>50</v>
      </c>
      <c r="L703">
        <v>140</v>
      </c>
    </row>
    <row r="704" spans="5:12" x14ac:dyDescent="0.25">
      <c r="E704" s="449"/>
      <c r="J704" t="s">
        <v>145</v>
      </c>
      <c r="K704">
        <v>50</v>
      </c>
      <c r="L704">
        <v>160</v>
      </c>
    </row>
    <row r="705" spans="5:12" x14ac:dyDescent="0.25">
      <c r="E705" s="449"/>
      <c r="J705" t="s">
        <v>145</v>
      </c>
      <c r="K705">
        <v>50</v>
      </c>
      <c r="L705">
        <v>200</v>
      </c>
    </row>
    <row r="706" spans="5:12" x14ac:dyDescent="0.25">
      <c r="E706" s="449"/>
      <c r="J706" t="s">
        <v>145</v>
      </c>
      <c r="K706">
        <v>60</v>
      </c>
      <c r="L706">
        <v>80</v>
      </c>
    </row>
    <row r="707" spans="5:12" x14ac:dyDescent="0.25">
      <c r="E707" s="449"/>
      <c r="J707" t="s">
        <v>145</v>
      </c>
      <c r="K707">
        <v>60</v>
      </c>
      <c r="L707">
        <v>100</v>
      </c>
    </row>
    <row r="708" spans="5:12" x14ac:dyDescent="0.25">
      <c r="E708" s="449"/>
      <c r="J708" t="s">
        <v>145</v>
      </c>
      <c r="K708">
        <v>60</v>
      </c>
      <c r="L708">
        <v>120</v>
      </c>
    </row>
    <row r="709" spans="5:12" x14ac:dyDescent="0.25">
      <c r="E709" s="709"/>
      <c r="J709" t="s">
        <v>145</v>
      </c>
      <c r="K709">
        <v>60</v>
      </c>
      <c r="L709">
        <v>140</v>
      </c>
    </row>
    <row r="710" spans="5:12" x14ac:dyDescent="0.25">
      <c r="E710" s="709"/>
      <c r="J710" t="s">
        <v>145</v>
      </c>
      <c r="K710">
        <v>60</v>
      </c>
      <c r="L710">
        <v>160</v>
      </c>
    </row>
    <row r="711" spans="5:12" x14ac:dyDescent="0.25">
      <c r="E711" s="709"/>
      <c r="J711" t="s">
        <v>145</v>
      </c>
      <c r="K711">
        <v>60</v>
      </c>
      <c r="L711">
        <v>200</v>
      </c>
    </row>
    <row r="712" spans="5:12" x14ac:dyDescent="0.25">
      <c r="E712" s="709"/>
      <c r="J712" t="s">
        <v>145</v>
      </c>
      <c r="K712">
        <v>75</v>
      </c>
      <c r="L712">
        <v>100</v>
      </c>
    </row>
    <row r="713" spans="5:12" x14ac:dyDescent="0.25">
      <c r="E713" s="709"/>
      <c r="J713" t="s">
        <v>145</v>
      </c>
      <c r="K713">
        <v>75</v>
      </c>
      <c r="L713">
        <v>120</v>
      </c>
    </row>
    <row r="714" spans="5:12" x14ac:dyDescent="0.25">
      <c r="E714" s="709"/>
      <c r="J714" t="s">
        <v>145</v>
      </c>
      <c r="K714">
        <v>75</v>
      </c>
      <c r="L714">
        <v>140</v>
      </c>
    </row>
    <row r="715" spans="5:12" x14ac:dyDescent="0.25">
      <c r="E715" s="709"/>
      <c r="J715" t="s">
        <v>145</v>
      </c>
      <c r="K715">
        <v>75</v>
      </c>
      <c r="L715">
        <v>160</v>
      </c>
    </row>
    <row r="716" spans="5:12" x14ac:dyDescent="0.25">
      <c r="E716" s="709"/>
      <c r="J716" t="s">
        <v>145</v>
      </c>
      <c r="K716">
        <v>75</v>
      </c>
      <c r="L716">
        <v>200</v>
      </c>
    </row>
    <row r="717" spans="5:12" x14ac:dyDescent="0.25">
      <c r="E717" s="709"/>
      <c r="J717" t="s">
        <v>146</v>
      </c>
      <c r="K717">
        <v>15</v>
      </c>
      <c r="L717">
        <v>159</v>
      </c>
    </row>
    <row r="718" spans="5:12" x14ac:dyDescent="0.25">
      <c r="E718" s="709"/>
      <c r="J718" t="s">
        <v>146</v>
      </c>
      <c r="K718">
        <v>20</v>
      </c>
      <c r="L718">
        <v>106</v>
      </c>
    </row>
    <row r="719" spans="5:12" x14ac:dyDescent="0.25">
      <c r="E719" s="709"/>
      <c r="J719" t="s">
        <v>146</v>
      </c>
      <c r="K719">
        <v>25</v>
      </c>
      <c r="L719">
        <v>109</v>
      </c>
    </row>
    <row r="720" spans="5:12" x14ac:dyDescent="0.25">
      <c r="E720" s="709"/>
      <c r="J720" t="s">
        <v>146</v>
      </c>
      <c r="K720">
        <v>30</v>
      </c>
      <c r="L720">
        <v>85</v>
      </c>
    </row>
    <row r="721" spans="5:12" x14ac:dyDescent="0.25">
      <c r="E721" s="709"/>
      <c r="J721" t="s">
        <v>146</v>
      </c>
      <c r="K721">
        <v>30</v>
      </c>
      <c r="L721">
        <v>87</v>
      </c>
    </row>
    <row r="722" spans="5:12" x14ac:dyDescent="0.25">
      <c r="E722" s="709"/>
      <c r="J722" t="s">
        <v>146</v>
      </c>
      <c r="K722">
        <v>30</v>
      </c>
      <c r="L722">
        <v>100</v>
      </c>
    </row>
    <row r="723" spans="5:12" x14ac:dyDescent="0.25">
      <c r="E723" s="709"/>
      <c r="J723" t="s">
        <v>146</v>
      </c>
      <c r="K723">
        <v>30</v>
      </c>
      <c r="L723">
        <v>106</v>
      </c>
    </row>
    <row r="724" spans="5:12" x14ac:dyDescent="0.25">
      <c r="E724" s="709"/>
      <c r="J724" t="s">
        <v>146</v>
      </c>
      <c r="K724">
        <v>30</v>
      </c>
      <c r="L724">
        <v>110</v>
      </c>
    </row>
    <row r="725" spans="5:12" x14ac:dyDescent="0.25">
      <c r="E725" s="709"/>
      <c r="J725" t="s">
        <v>146</v>
      </c>
      <c r="K725">
        <v>30</v>
      </c>
      <c r="L725">
        <v>113</v>
      </c>
    </row>
    <row r="726" spans="5:12" x14ac:dyDescent="0.25">
      <c r="E726" s="709"/>
      <c r="J726" t="s">
        <v>146</v>
      </c>
      <c r="K726">
        <v>30</v>
      </c>
      <c r="L726">
        <v>125</v>
      </c>
    </row>
    <row r="727" spans="5:12" x14ac:dyDescent="0.25">
      <c r="E727" s="709"/>
      <c r="J727" t="s">
        <v>146</v>
      </c>
      <c r="K727">
        <v>40</v>
      </c>
      <c r="L727">
        <v>85</v>
      </c>
    </row>
    <row r="728" spans="5:12" x14ac:dyDescent="0.25">
      <c r="E728" s="709"/>
      <c r="J728" t="s">
        <v>146</v>
      </c>
      <c r="K728">
        <v>40</v>
      </c>
      <c r="L728">
        <v>91</v>
      </c>
    </row>
    <row r="729" spans="5:12" x14ac:dyDescent="0.25">
      <c r="E729" s="709"/>
      <c r="J729" t="s">
        <v>146</v>
      </c>
      <c r="K729">
        <v>40</v>
      </c>
      <c r="L729">
        <v>103</v>
      </c>
    </row>
    <row r="730" spans="5:12" x14ac:dyDescent="0.25">
      <c r="E730" s="709"/>
      <c r="J730" t="s">
        <v>146</v>
      </c>
      <c r="K730">
        <v>40</v>
      </c>
      <c r="L730">
        <v>112</v>
      </c>
    </row>
    <row r="731" spans="5:12" x14ac:dyDescent="0.25">
      <c r="E731" s="709"/>
      <c r="J731" t="s">
        <v>146</v>
      </c>
      <c r="K731">
        <v>50</v>
      </c>
      <c r="L731">
        <v>110</v>
      </c>
    </row>
    <row r="732" spans="5:12" x14ac:dyDescent="0.25">
      <c r="E732" s="709"/>
      <c r="J732" t="s">
        <v>146</v>
      </c>
      <c r="K732">
        <v>50</v>
      </c>
      <c r="L732">
        <v>125</v>
      </c>
    </row>
    <row r="733" spans="5:12" x14ac:dyDescent="0.25">
      <c r="E733" s="709"/>
      <c r="J733" t="s">
        <v>146</v>
      </c>
      <c r="K733">
        <v>50</v>
      </c>
      <c r="L733">
        <v>126</v>
      </c>
    </row>
    <row r="734" spans="5:12" x14ac:dyDescent="0.25">
      <c r="E734" s="709"/>
      <c r="J734" t="s">
        <v>146</v>
      </c>
      <c r="K734">
        <v>50</v>
      </c>
      <c r="L734">
        <v>134</v>
      </c>
    </row>
    <row r="735" spans="5:12" x14ac:dyDescent="0.25">
      <c r="E735" s="709"/>
      <c r="J735" t="s">
        <v>146</v>
      </c>
      <c r="K735">
        <v>50</v>
      </c>
      <c r="L735">
        <v>160</v>
      </c>
    </row>
    <row r="736" spans="5:12" x14ac:dyDescent="0.25">
      <c r="E736" s="709"/>
      <c r="J736" t="s">
        <v>146</v>
      </c>
      <c r="K736">
        <v>50</v>
      </c>
      <c r="L736">
        <v>169</v>
      </c>
    </row>
    <row r="737" spans="5:12" x14ac:dyDescent="0.25">
      <c r="E737" s="709"/>
      <c r="J737" t="s">
        <v>146</v>
      </c>
      <c r="K737">
        <v>75</v>
      </c>
      <c r="L737">
        <v>108</v>
      </c>
    </row>
    <row r="738" spans="5:12" x14ac:dyDescent="0.25">
      <c r="E738" s="709"/>
      <c r="J738" t="s">
        <v>143</v>
      </c>
      <c r="K738">
        <v>40</v>
      </c>
      <c r="L738">
        <v>100</v>
      </c>
    </row>
    <row r="739" spans="5:12" x14ac:dyDescent="0.25">
      <c r="E739" s="449"/>
      <c r="J739" t="s">
        <v>143</v>
      </c>
      <c r="K739">
        <v>40</v>
      </c>
      <c r="L739">
        <v>107</v>
      </c>
    </row>
    <row r="740" spans="5:12" x14ac:dyDescent="0.25">
      <c r="E740" s="449"/>
      <c r="J740" t="s">
        <v>143</v>
      </c>
      <c r="K740">
        <v>50</v>
      </c>
      <c r="L740">
        <v>100</v>
      </c>
    </row>
    <row r="741" spans="5:12" x14ac:dyDescent="0.25">
      <c r="E741" s="449"/>
      <c r="J741" t="s">
        <v>143</v>
      </c>
      <c r="K741">
        <v>50</v>
      </c>
      <c r="L741">
        <v>200</v>
      </c>
    </row>
    <row r="742" spans="5:12" x14ac:dyDescent="0.25">
      <c r="E742" s="449"/>
      <c r="J742" t="s">
        <v>143</v>
      </c>
      <c r="K742">
        <v>60</v>
      </c>
      <c r="L742">
        <v>100</v>
      </c>
    </row>
    <row r="743" spans="5:12" x14ac:dyDescent="0.25">
      <c r="E743" s="449"/>
      <c r="J743" t="s">
        <v>143</v>
      </c>
      <c r="K743">
        <v>60</v>
      </c>
      <c r="L743">
        <v>126</v>
      </c>
    </row>
    <row r="744" spans="5:12" x14ac:dyDescent="0.25">
      <c r="E744" s="449"/>
      <c r="J744" t="s">
        <v>143</v>
      </c>
      <c r="K744">
        <v>75</v>
      </c>
      <c r="L744">
        <v>100</v>
      </c>
    </row>
    <row r="745" spans="5:12" x14ac:dyDescent="0.25">
      <c r="E745" s="449"/>
      <c r="J745" t="s">
        <v>143</v>
      </c>
      <c r="K745">
        <v>75</v>
      </c>
      <c r="L745">
        <v>120</v>
      </c>
    </row>
    <row r="746" spans="5:12" x14ac:dyDescent="0.25">
      <c r="E746" s="449"/>
      <c r="J746" t="s">
        <v>143</v>
      </c>
      <c r="K746">
        <v>100</v>
      </c>
      <c r="L746">
        <v>100</v>
      </c>
    </row>
    <row r="747" spans="5:12" x14ac:dyDescent="0.25">
      <c r="E747" s="449"/>
      <c r="J747" t="s">
        <v>142</v>
      </c>
      <c r="K747">
        <v>40</v>
      </c>
      <c r="L747">
        <v>80</v>
      </c>
    </row>
    <row r="748" spans="5:12" x14ac:dyDescent="0.25">
      <c r="E748" s="449"/>
      <c r="J748" t="s">
        <v>142</v>
      </c>
      <c r="K748">
        <v>40</v>
      </c>
      <c r="L748">
        <v>100</v>
      </c>
    </row>
    <row r="749" spans="5:12" x14ac:dyDescent="0.25">
      <c r="E749" s="449"/>
      <c r="J749" t="s">
        <v>142</v>
      </c>
      <c r="K749">
        <v>40</v>
      </c>
      <c r="L749">
        <v>120</v>
      </c>
    </row>
    <row r="750" spans="5:12" x14ac:dyDescent="0.25">
      <c r="E750" s="449"/>
      <c r="J750" t="s">
        <v>142</v>
      </c>
      <c r="K750">
        <v>40</v>
      </c>
      <c r="L750">
        <v>140</v>
      </c>
    </row>
    <row r="751" spans="5:12" x14ac:dyDescent="0.25">
      <c r="E751" s="449"/>
      <c r="J751" t="s">
        <v>142</v>
      </c>
      <c r="K751">
        <v>40</v>
      </c>
      <c r="L751">
        <v>160</v>
      </c>
    </row>
    <row r="752" spans="5:12" x14ac:dyDescent="0.25">
      <c r="E752" s="449"/>
      <c r="J752" t="s">
        <v>142</v>
      </c>
      <c r="K752">
        <v>40</v>
      </c>
      <c r="L752">
        <v>200</v>
      </c>
    </row>
    <row r="753" spans="5:12" x14ac:dyDescent="0.25">
      <c r="E753" s="449"/>
      <c r="J753" t="s">
        <v>142</v>
      </c>
      <c r="K753">
        <v>50</v>
      </c>
      <c r="L753">
        <v>80</v>
      </c>
    </row>
    <row r="754" spans="5:12" x14ac:dyDescent="0.25">
      <c r="E754" s="449"/>
      <c r="J754" t="s">
        <v>142</v>
      </c>
      <c r="K754">
        <v>50</v>
      </c>
      <c r="L754">
        <v>100</v>
      </c>
    </row>
    <row r="755" spans="5:12" x14ac:dyDescent="0.25">
      <c r="E755" s="449"/>
      <c r="J755" t="s">
        <v>142</v>
      </c>
      <c r="K755">
        <v>50</v>
      </c>
      <c r="L755">
        <v>120</v>
      </c>
    </row>
    <row r="756" spans="5:12" x14ac:dyDescent="0.25">
      <c r="E756" s="449"/>
      <c r="J756" t="s">
        <v>142</v>
      </c>
      <c r="K756">
        <v>50</v>
      </c>
      <c r="L756">
        <v>140</v>
      </c>
    </row>
    <row r="757" spans="5:12" x14ac:dyDescent="0.25">
      <c r="E757" s="449"/>
      <c r="J757" t="s">
        <v>142</v>
      </c>
      <c r="K757">
        <v>50</v>
      </c>
      <c r="L757">
        <v>160</v>
      </c>
    </row>
    <row r="758" spans="5:12" x14ac:dyDescent="0.25">
      <c r="E758" s="449"/>
      <c r="J758" t="s">
        <v>142</v>
      </c>
      <c r="K758">
        <v>50</v>
      </c>
      <c r="L758">
        <v>200</v>
      </c>
    </row>
    <row r="759" spans="5:12" x14ac:dyDescent="0.25">
      <c r="E759" s="449"/>
      <c r="J759" t="s">
        <v>142</v>
      </c>
      <c r="K759">
        <v>60</v>
      </c>
      <c r="L759">
        <v>80</v>
      </c>
    </row>
    <row r="760" spans="5:12" x14ac:dyDescent="0.25">
      <c r="E760" s="449"/>
      <c r="J760" t="s">
        <v>142</v>
      </c>
      <c r="K760">
        <v>60</v>
      </c>
      <c r="L760">
        <v>100</v>
      </c>
    </row>
    <row r="761" spans="5:12" x14ac:dyDescent="0.25">
      <c r="E761" s="449"/>
      <c r="J761" t="s">
        <v>142</v>
      </c>
      <c r="K761">
        <v>60</v>
      </c>
      <c r="L761">
        <v>120</v>
      </c>
    </row>
    <row r="762" spans="5:12" x14ac:dyDescent="0.25">
      <c r="E762" s="449"/>
      <c r="J762" t="s">
        <v>142</v>
      </c>
      <c r="K762">
        <v>60</v>
      </c>
      <c r="L762">
        <v>140</v>
      </c>
    </row>
    <row r="763" spans="5:12" x14ac:dyDescent="0.25">
      <c r="E763" s="449"/>
      <c r="J763" t="s">
        <v>142</v>
      </c>
      <c r="K763">
        <v>60</v>
      </c>
      <c r="L763">
        <v>160</v>
      </c>
    </row>
    <row r="764" spans="5:12" x14ac:dyDescent="0.25">
      <c r="E764" s="449"/>
      <c r="J764" t="s">
        <v>142</v>
      </c>
      <c r="K764">
        <v>60</v>
      </c>
      <c r="L764">
        <v>200</v>
      </c>
    </row>
    <row r="765" spans="5:12" x14ac:dyDescent="0.25">
      <c r="E765" s="709"/>
      <c r="J765" t="s">
        <v>142</v>
      </c>
      <c r="K765">
        <v>75</v>
      </c>
      <c r="L765">
        <v>80</v>
      </c>
    </row>
    <row r="766" spans="5:12" x14ac:dyDescent="0.25">
      <c r="E766" s="709"/>
      <c r="J766" t="s">
        <v>142</v>
      </c>
      <c r="K766">
        <v>75</v>
      </c>
      <c r="L766">
        <v>100</v>
      </c>
    </row>
    <row r="767" spans="5:12" x14ac:dyDescent="0.25">
      <c r="E767" s="709"/>
      <c r="J767" t="s">
        <v>142</v>
      </c>
      <c r="K767">
        <v>75</v>
      </c>
      <c r="L767">
        <v>120</v>
      </c>
    </row>
    <row r="768" spans="5:12" x14ac:dyDescent="0.25">
      <c r="E768" s="709"/>
      <c r="J768" t="s">
        <v>142</v>
      </c>
      <c r="K768">
        <v>75</v>
      </c>
      <c r="L768">
        <v>140</v>
      </c>
    </row>
    <row r="769" spans="5:12" x14ac:dyDescent="0.25">
      <c r="E769" s="709"/>
      <c r="J769" t="s">
        <v>142</v>
      </c>
      <c r="K769">
        <v>75</v>
      </c>
      <c r="L769">
        <v>160</v>
      </c>
    </row>
    <row r="770" spans="5:12" x14ac:dyDescent="0.25">
      <c r="E770" s="709"/>
      <c r="J770" t="s">
        <v>142</v>
      </c>
      <c r="K770">
        <v>75</v>
      </c>
      <c r="L770">
        <v>200</v>
      </c>
    </row>
    <row r="771" spans="5:12" x14ac:dyDescent="0.25">
      <c r="E771" s="709"/>
      <c r="J771" t="s">
        <v>142</v>
      </c>
      <c r="K771">
        <v>100</v>
      </c>
      <c r="L771">
        <v>120</v>
      </c>
    </row>
    <row r="772" spans="5:12" x14ac:dyDescent="0.25">
      <c r="E772" s="709"/>
      <c r="J772" t="s">
        <v>142</v>
      </c>
      <c r="K772">
        <v>100</v>
      </c>
      <c r="L772">
        <v>140</v>
      </c>
    </row>
    <row r="773" spans="5:12" x14ac:dyDescent="0.25">
      <c r="E773" s="709"/>
      <c r="J773" t="s">
        <v>142</v>
      </c>
      <c r="K773">
        <v>100</v>
      </c>
      <c r="L773">
        <v>160</v>
      </c>
    </row>
    <row r="774" spans="5:12" x14ac:dyDescent="0.25">
      <c r="E774" s="709"/>
      <c r="J774" t="s">
        <v>142</v>
      </c>
      <c r="K774">
        <v>100</v>
      </c>
      <c r="L774">
        <v>200</v>
      </c>
    </row>
    <row r="775" spans="5:12" x14ac:dyDescent="0.25">
      <c r="E775" s="709"/>
      <c r="J775" t="s">
        <v>142</v>
      </c>
      <c r="K775">
        <v>125</v>
      </c>
      <c r="L775">
        <v>120</v>
      </c>
    </row>
    <row r="776" spans="5:12" x14ac:dyDescent="0.25">
      <c r="E776" s="709"/>
      <c r="J776" t="s">
        <v>142</v>
      </c>
      <c r="K776">
        <v>125</v>
      </c>
      <c r="L776">
        <v>140</v>
      </c>
    </row>
    <row r="777" spans="5:12" x14ac:dyDescent="0.25">
      <c r="E777" s="709"/>
      <c r="J777" t="s">
        <v>142</v>
      </c>
      <c r="K777">
        <v>125</v>
      </c>
      <c r="L777">
        <v>160</v>
      </c>
    </row>
    <row r="778" spans="5:12" x14ac:dyDescent="0.25">
      <c r="E778" s="709"/>
      <c r="J778" t="s">
        <v>142</v>
      </c>
      <c r="K778">
        <v>125</v>
      </c>
      <c r="L778">
        <v>200</v>
      </c>
    </row>
    <row r="779" spans="5:12" x14ac:dyDescent="0.25">
      <c r="E779" s="709"/>
      <c r="J779" t="s">
        <v>141</v>
      </c>
      <c r="K779">
        <v>1</v>
      </c>
      <c r="L779">
        <v>1</v>
      </c>
    </row>
    <row r="780" spans="5:12" x14ac:dyDescent="0.25">
      <c r="E780" s="709"/>
      <c r="J780" t="s">
        <v>140</v>
      </c>
      <c r="K780">
        <v>1</v>
      </c>
      <c r="L780">
        <v>1</v>
      </c>
    </row>
    <row r="781" spans="5:12" x14ac:dyDescent="0.25">
      <c r="E781" s="709"/>
      <c r="J781" t="s">
        <v>139</v>
      </c>
      <c r="K781">
        <v>40</v>
      </c>
      <c r="L781">
        <v>80</v>
      </c>
    </row>
    <row r="782" spans="5:12" x14ac:dyDescent="0.25">
      <c r="E782" s="709"/>
      <c r="J782" t="s">
        <v>139</v>
      </c>
      <c r="K782">
        <v>40</v>
      </c>
      <c r="L782">
        <v>100</v>
      </c>
    </row>
    <row r="783" spans="5:12" x14ac:dyDescent="0.25">
      <c r="E783" s="709"/>
      <c r="J783" t="s">
        <v>139</v>
      </c>
      <c r="K783">
        <v>40</v>
      </c>
      <c r="L783">
        <v>120</v>
      </c>
    </row>
    <row r="784" spans="5:12" x14ac:dyDescent="0.25">
      <c r="E784" s="709"/>
      <c r="J784" t="s">
        <v>139</v>
      </c>
      <c r="K784">
        <v>40</v>
      </c>
      <c r="L784">
        <v>140</v>
      </c>
    </row>
    <row r="785" spans="5:12" x14ac:dyDescent="0.25">
      <c r="E785" s="709"/>
      <c r="J785" t="s">
        <v>139</v>
      </c>
      <c r="K785">
        <v>40</v>
      </c>
      <c r="L785">
        <v>160</v>
      </c>
    </row>
    <row r="786" spans="5:12" x14ac:dyDescent="0.25">
      <c r="E786" s="709"/>
      <c r="J786" t="s">
        <v>139</v>
      </c>
      <c r="K786">
        <v>40</v>
      </c>
      <c r="L786">
        <v>200</v>
      </c>
    </row>
    <row r="787" spans="5:12" x14ac:dyDescent="0.25">
      <c r="E787" s="709"/>
      <c r="J787" t="s">
        <v>139</v>
      </c>
      <c r="K787">
        <v>50</v>
      </c>
      <c r="L787">
        <v>80</v>
      </c>
    </row>
    <row r="788" spans="5:12" x14ac:dyDescent="0.25">
      <c r="E788" s="709"/>
      <c r="J788" t="s">
        <v>139</v>
      </c>
      <c r="K788">
        <v>50</v>
      </c>
      <c r="L788">
        <v>100</v>
      </c>
    </row>
    <row r="789" spans="5:12" x14ac:dyDescent="0.25">
      <c r="E789" s="709"/>
      <c r="J789" t="s">
        <v>139</v>
      </c>
      <c r="K789">
        <v>50</v>
      </c>
      <c r="L789">
        <v>120</v>
      </c>
    </row>
    <row r="790" spans="5:12" x14ac:dyDescent="0.25">
      <c r="E790" s="709"/>
      <c r="J790" t="s">
        <v>139</v>
      </c>
      <c r="K790">
        <v>50</v>
      </c>
      <c r="L790">
        <v>140</v>
      </c>
    </row>
    <row r="791" spans="5:12" x14ac:dyDescent="0.25">
      <c r="E791" s="709"/>
      <c r="J791" t="s">
        <v>139</v>
      </c>
      <c r="K791">
        <v>50</v>
      </c>
      <c r="L791">
        <v>160</v>
      </c>
    </row>
    <row r="792" spans="5:12" x14ac:dyDescent="0.25">
      <c r="E792" s="709"/>
      <c r="J792" t="s">
        <v>139</v>
      </c>
      <c r="K792">
        <v>50</v>
      </c>
      <c r="L792">
        <v>200</v>
      </c>
    </row>
    <row r="793" spans="5:12" x14ac:dyDescent="0.25">
      <c r="E793" s="709"/>
      <c r="J793" t="s">
        <v>139</v>
      </c>
      <c r="K793">
        <v>60</v>
      </c>
      <c r="L793">
        <v>80</v>
      </c>
    </row>
    <row r="794" spans="5:12" x14ac:dyDescent="0.25">
      <c r="E794" s="709"/>
      <c r="J794" t="s">
        <v>139</v>
      </c>
      <c r="K794">
        <v>60</v>
      </c>
      <c r="L794">
        <v>100</v>
      </c>
    </row>
    <row r="795" spans="5:12" x14ac:dyDescent="0.25">
      <c r="E795" s="709"/>
      <c r="J795" t="s">
        <v>139</v>
      </c>
      <c r="K795">
        <v>60</v>
      </c>
      <c r="L795">
        <v>120</v>
      </c>
    </row>
    <row r="796" spans="5:12" x14ac:dyDescent="0.25">
      <c r="E796" s="709"/>
      <c r="J796" t="s">
        <v>139</v>
      </c>
      <c r="K796">
        <v>60</v>
      </c>
      <c r="L796">
        <v>140</v>
      </c>
    </row>
    <row r="797" spans="5:12" x14ac:dyDescent="0.25">
      <c r="E797" s="709"/>
      <c r="J797" t="s">
        <v>139</v>
      </c>
      <c r="K797">
        <v>60</v>
      </c>
      <c r="L797">
        <v>160</v>
      </c>
    </row>
    <row r="798" spans="5:12" x14ac:dyDescent="0.25">
      <c r="E798" s="709"/>
      <c r="J798" t="s">
        <v>139</v>
      </c>
      <c r="K798">
        <v>60</v>
      </c>
      <c r="L798">
        <v>200</v>
      </c>
    </row>
    <row r="799" spans="5:12" x14ac:dyDescent="0.25">
      <c r="E799" s="709"/>
      <c r="J799" t="s">
        <v>139</v>
      </c>
      <c r="K799">
        <v>75</v>
      </c>
      <c r="L799">
        <v>80</v>
      </c>
    </row>
    <row r="800" spans="5:12" x14ac:dyDescent="0.25">
      <c r="E800" s="709"/>
      <c r="J800" t="s">
        <v>139</v>
      </c>
      <c r="K800">
        <v>75</v>
      </c>
      <c r="L800">
        <v>100</v>
      </c>
    </row>
    <row r="801" spans="5:12" x14ac:dyDescent="0.25">
      <c r="E801" s="709"/>
      <c r="J801" t="s">
        <v>139</v>
      </c>
      <c r="K801">
        <v>75</v>
      </c>
      <c r="L801">
        <v>120</v>
      </c>
    </row>
    <row r="802" spans="5:12" x14ac:dyDescent="0.25">
      <c r="E802" s="709"/>
      <c r="J802" t="s">
        <v>139</v>
      </c>
      <c r="K802">
        <v>75</v>
      </c>
      <c r="L802">
        <v>140</v>
      </c>
    </row>
    <row r="803" spans="5:12" x14ac:dyDescent="0.25">
      <c r="E803" s="709"/>
      <c r="J803" t="s">
        <v>139</v>
      </c>
      <c r="K803">
        <v>75</v>
      </c>
      <c r="L803">
        <v>160</v>
      </c>
    </row>
    <row r="804" spans="5:12" x14ac:dyDescent="0.25">
      <c r="E804" s="709"/>
      <c r="J804" t="s">
        <v>139</v>
      </c>
      <c r="K804">
        <v>75</v>
      </c>
      <c r="L804">
        <v>200</v>
      </c>
    </row>
    <row r="805" spans="5:12" x14ac:dyDescent="0.25">
      <c r="E805" s="709"/>
      <c r="J805" t="s">
        <v>139</v>
      </c>
      <c r="K805">
        <v>100</v>
      </c>
      <c r="L805">
        <v>120</v>
      </c>
    </row>
    <row r="806" spans="5:12" x14ac:dyDescent="0.25">
      <c r="E806" s="709"/>
      <c r="J806" t="s">
        <v>139</v>
      </c>
      <c r="K806">
        <v>100</v>
      </c>
      <c r="L806">
        <v>140</v>
      </c>
    </row>
    <row r="807" spans="5:12" x14ac:dyDescent="0.25">
      <c r="E807" s="709"/>
      <c r="J807" t="s">
        <v>139</v>
      </c>
      <c r="K807">
        <v>100</v>
      </c>
      <c r="L807">
        <v>160</v>
      </c>
    </row>
    <row r="808" spans="5:12" x14ac:dyDescent="0.25">
      <c r="E808" s="709"/>
      <c r="J808" t="s">
        <v>139</v>
      </c>
      <c r="K808">
        <v>100</v>
      </c>
      <c r="L808">
        <v>200</v>
      </c>
    </row>
    <row r="809" spans="5:12" x14ac:dyDescent="0.25">
      <c r="E809" s="709"/>
      <c r="J809" t="s">
        <v>139</v>
      </c>
      <c r="K809">
        <v>125</v>
      </c>
      <c r="L809">
        <v>120</v>
      </c>
    </row>
    <row r="810" spans="5:12" x14ac:dyDescent="0.25">
      <c r="E810" s="709"/>
      <c r="J810" t="s">
        <v>139</v>
      </c>
      <c r="K810">
        <v>125</v>
      </c>
      <c r="L810">
        <v>140</v>
      </c>
    </row>
    <row r="811" spans="5:12" x14ac:dyDescent="0.25">
      <c r="E811" s="709"/>
      <c r="J811" t="s">
        <v>139</v>
      </c>
      <c r="K811">
        <v>125</v>
      </c>
      <c r="L811">
        <v>160</v>
      </c>
    </row>
    <row r="812" spans="5:12" x14ac:dyDescent="0.25">
      <c r="E812" s="709"/>
      <c r="J812" t="s">
        <v>139</v>
      </c>
      <c r="K812">
        <v>125</v>
      </c>
      <c r="L812">
        <v>200</v>
      </c>
    </row>
    <row r="813" spans="5:12" x14ac:dyDescent="0.25">
      <c r="E813" s="709"/>
    </row>
  </sheetData>
  <sortState xmlns:xlrd2="http://schemas.microsoft.com/office/spreadsheetml/2017/richdata2" ref="M294:N303">
    <sortCondition ref="M294:M303"/>
  </sortState>
  <pageMargins left="0.7" right="0.7" top="0.75" bottom="0.75" header="0.3" footer="0.3"/>
  <pageSetup orientation="portrait" r:id="rId1"/>
  <tableParts count="19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87ED7-6A9F-4B1F-A32E-3F7303BFB73E}">
  <sheetPr codeName="Sheet32"/>
  <dimension ref="A1:A62"/>
  <sheetViews>
    <sheetView workbookViewId="0">
      <selection activeCell="A2" sqref="A2"/>
    </sheetView>
  </sheetViews>
  <sheetFormatPr defaultRowHeight="15" x14ac:dyDescent="0.25"/>
  <sheetData>
    <row r="1" spans="1:1" x14ac:dyDescent="0.25">
      <c r="A1" t="s">
        <v>835</v>
      </c>
    </row>
    <row r="2" spans="1:1" x14ac:dyDescent="0.25">
      <c r="A2" t="s">
        <v>843</v>
      </c>
    </row>
    <row r="3" spans="1:1" x14ac:dyDescent="0.25">
      <c r="A3" t="s">
        <v>844</v>
      </c>
    </row>
    <row r="4" spans="1:1" x14ac:dyDescent="0.25">
      <c r="A4" t="s">
        <v>841</v>
      </c>
    </row>
    <row r="5" spans="1:1" x14ac:dyDescent="0.25">
      <c r="A5" t="s">
        <v>845</v>
      </c>
    </row>
    <row r="6" spans="1:1" x14ac:dyDescent="0.25">
      <c r="A6" t="s">
        <v>840</v>
      </c>
    </row>
    <row r="7" spans="1:1" x14ac:dyDescent="0.25">
      <c r="A7" t="s">
        <v>846</v>
      </c>
    </row>
    <row r="8" spans="1:1" x14ac:dyDescent="0.25">
      <c r="A8" t="s">
        <v>847</v>
      </c>
    </row>
    <row r="9" spans="1:1" x14ac:dyDescent="0.25">
      <c r="A9" t="s">
        <v>848</v>
      </c>
    </row>
    <row r="10" spans="1:1" x14ac:dyDescent="0.25">
      <c r="A10" t="s">
        <v>849</v>
      </c>
    </row>
    <row r="11" spans="1:1" x14ac:dyDescent="0.25">
      <c r="A11" t="s">
        <v>850</v>
      </c>
    </row>
    <row r="12" spans="1:1" x14ac:dyDescent="0.25">
      <c r="A12" t="s">
        <v>851</v>
      </c>
    </row>
    <row r="13" spans="1:1" x14ac:dyDescent="0.25">
      <c r="A13" t="s">
        <v>852</v>
      </c>
    </row>
    <row r="14" spans="1:1" x14ac:dyDescent="0.25">
      <c r="A14" t="s">
        <v>853</v>
      </c>
    </row>
    <row r="15" spans="1:1" x14ac:dyDescent="0.25">
      <c r="A15" t="s">
        <v>854</v>
      </c>
    </row>
    <row r="16" spans="1:1" x14ac:dyDescent="0.25">
      <c r="A16" t="s">
        <v>855</v>
      </c>
    </row>
    <row r="17" spans="1:1" x14ac:dyDescent="0.25">
      <c r="A17" t="s">
        <v>856</v>
      </c>
    </row>
    <row r="18" spans="1:1" x14ac:dyDescent="0.25">
      <c r="A18" t="s">
        <v>857</v>
      </c>
    </row>
    <row r="19" spans="1:1" x14ac:dyDescent="0.25">
      <c r="A19" t="s">
        <v>858</v>
      </c>
    </row>
    <row r="20" spans="1:1" x14ac:dyDescent="0.25">
      <c r="A20" t="s">
        <v>859</v>
      </c>
    </row>
    <row r="21" spans="1:1" x14ac:dyDescent="0.25">
      <c r="A21" t="s">
        <v>860</v>
      </c>
    </row>
    <row r="22" spans="1:1" x14ac:dyDescent="0.25">
      <c r="A22" t="s">
        <v>861</v>
      </c>
    </row>
    <row r="23" spans="1:1" x14ac:dyDescent="0.25">
      <c r="A23" t="s">
        <v>862</v>
      </c>
    </row>
    <row r="24" spans="1:1" x14ac:dyDescent="0.25">
      <c r="A24" t="s">
        <v>863</v>
      </c>
    </row>
    <row r="25" spans="1:1" x14ac:dyDescent="0.25">
      <c r="A25" t="s">
        <v>1101</v>
      </c>
    </row>
    <row r="26" spans="1:1" x14ac:dyDescent="0.25">
      <c r="A26" t="s">
        <v>864</v>
      </c>
    </row>
    <row r="27" spans="1:1" x14ac:dyDescent="0.25">
      <c r="A27" t="s">
        <v>865</v>
      </c>
    </row>
    <row r="28" spans="1:1" x14ac:dyDescent="0.25">
      <c r="A28" t="s">
        <v>866</v>
      </c>
    </row>
    <row r="29" spans="1:1" x14ac:dyDescent="0.25">
      <c r="A29" t="s">
        <v>867</v>
      </c>
    </row>
    <row r="30" spans="1:1" x14ac:dyDescent="0.25">
      <c r="A30" t="s">
        <v>868</v>
      </c>
    </row>
    <row r="31" spans="1:1" x14ac:dyDescent="0.25">
      <c r="A31" t="s">
        <v>869</v>
      </c>
    </row>
    <row r="32" spans="1:1" x14ac:dyDescent="0.25">
      <c r="A32" t="s">
        <v>870</v>
      </c>
    </row>
    <row r="33" spans="1:1" x14ac:dyDescent="0.25">
      <c r="A33" t="s">
        <v>871</v>
      </c>
    </row>
    <row r="34" spans="1:1" x14ac:dyDescent="0.25">
      <c r="A34" t="s">
        <v>872</v>
      </c>
    </row>
    <row r="35" spans="1:1" x14ac:dyDescent="0.25">
      <c r="A35" t="s">
        <v>842</v>
      </c>
    </row>
    <row r="36" spans="1:1" x14ac:dyDescent="0.25">
      <c r="A36" t="s">
        <v>873</v>
      </c>
    </row>
    <row r="37" spans="1:1" x14ac:dyDescent="0.25">
      <c r="A37" t="s">
        <v>874</v>
      </c>
    </row>
    <row r="38" spans="1:1" x14ac:dyDescent="0.25">
      <c r="A38" t="s">
        <v>875</v>
      </c>
    </row>
    <row r="39" spans="1:1" x14ac:dyDescent="0.25">
      <c r="A39" t="s">
        <v>876</v>
      </c>
    </row>
    <row r="40" spans="1:1" x14ac:dyDescent="0.25">
      <c r="A40" t="s">
        <v>877</v>
      </c>
    </row>
    <row r="41" spans="1:1" x14ac:dyDescent="0.25">
      <c r="A41" t="s">
        <v>878</v>
      </c>
    </row>
    <row r="42" spans="1:1" x14ac:dyDescent="0.25">
      <c r="A42" t="s">
        <v>879</v>
      </c>
    </row>
    <row r="43" spans="1:1" x14ac:dyDescent="0.25">
      <c r="A43" t="s">
        <v>880</v>
      </c>
    </row>
    <row r="44" spans="1:1" x14ac:dyDescent="0.25">
      <c r="A44" t="s">
        <v>881</v>
      </c>
    </row>
    <row r="45" spans="1:1" x14ac:dyDescent="0.25">
      <c r="A45" t="s">
        <v>882</v>
      </c>
    </row>
    <row r="46" spans="1:1" x14ac:dyDescent="0.25">
      <c r="A46" t="s">
        <v>883</v>
      </c>
    </row>
    <row r="47" spans="1:1" x14ac:dyDescent="0.25">
      <c r="A47" t="s">
        <v>884</v>
      </c>
    </row>
    <row r="48" spans="1:1" x14ac:dyDescent="0.25">
      <c r="A48" t="s">
        <v>885</v>
      </c>
    </row>
    <row r="49" spans="1:1" x14ac:dyDescent="0.25">
      <c r="A49" t="s">
        <v>886</v>
      </c>
    </row>
    <row r="50" spans="1:1" x14ac:dyDescent="0.25">
      <c r="A50" t="s">
        <v>887</v>
      </c>
    </row>
    <row r="51" spans="1:1" x14ac:dyDescent="0.25">
      <c r="A51" t="s">
        <v>888</v>
      </c>
    </row>
    <row r="52" spans="1:1" x14ac:dyDescent="0.25">
      <c r="A52" t="s">
        <v>889</v>
      </c>
    </row>
    <row r="53" spans="1:1" x14ac:dyDescent="0.25">
      <c r="A53" t="s">
        <v>890</v>
      </c>
    </row>
    <row r="54" spans="1:1" x14ac:dyDescent="0.25">
      <c r="A54" t="s">
        <v>891</v>
      </c>
    </row>
    <row r="55" spans="1:1" x14ac:dyDescent="0.25">
      <c r="A55" t="s">
        <v>892</v>
      </c>
    </row>
    <row r="56" spans="1:1" x14ac:dyDescent="0.25">
      <c r="A56" t="s">
        <v>893</v>
      </c>
    </row>
    <row r="57" spans="1:1" x14ac:dyDescent="0.25">
      <c r="A57" t="s">
        <v>894</v>
      </c>
    </row>
    <row r="58" spans="1:1" x14ac:dyDescent="0.25">
      <c r="A58" t="s">
        <v>895</v>
      </c>
    </row>
    <row r="59" spans="1:1" x14ac:dyDescent="0.25">
      <c r="A59" t="s">
        <v>896</v>
      </c>
    </row>
    <row r="60" spans="1:1" x14ac:dyDescent="0.25">
      <c r="A60" t="s">
        <v>897</v>
      </c>
    </row>
    <row r="61" spans="1:1" x14ac:dyDescent="0.25">
      <c r="A61" t="s">
        <v>898</v>
      </c>
    </row>
    <row r="62" spans="1:1" x14ac:dyDescent="0.25">
      <c r="A62" t="s">
        <v>899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DB3C4-3F15-456F-A1E6-02ADA99D8A2B}">
  <sheetPr codeName="Sheet7">
    <tabColor rgb="FFFF0000"/>
    <pageSetUpPr fitToPage="1"/>
  </sheetPr>
  <dimension ref="C1:Q65"/>
  <sheetViews>
    <sheetView topLeftCell="C1" zoomScale="90" zoomScaleNormal="90" workbookViewId="0">
      <selection activeCell="F7" sqref="F7:G7"/>
    </sheetView>
  </sheetViews>
  <sheetFormatPr defaultColWidth="9.140625" defaultRowHeight="15" x14ac:dyDescent="0.25"/>
  <cols>
    <col min="1" max="2" width="2.42578125" customWidth="1"/>
    <col min="3" max="4" width="9.140625" customWidth="1"/>
    <col min="5" max="5" width="13.42578125" customWidth="1"/>
    <col min="6" max="6" width="15.5703125" customWidth="1"/>
    <col min="7" max="7" width="16.5703125" customWidth="1"/>
    <col min="8" max="8" width="4.28515625" customWidth="1"/>
    <col min="9" max="9" width="2.5703125" customWidth="1"/>
    <col min="10" max="10" width="3.7109375" customWidth="1"/>
    <col min="11" max="11" width="9.7109375" customWidth="1"/>
    <col min="12" max="12" width="19.28515625" customWidth="1"/>
    <col min="13" max="13" width="14.85546875" customWidth="1"/>
    <col min="14" max="14" width="19.42578125" customWidth="1"/>
    <col min="15" max="15" width="16.28515625" customWidth="1"/>
    <col min="16" max="16" width="2.42578125" customWidth="1"/>
  </cols>
  <sheetData>
    <row r="1" spans="3:15" ht="39" customHeight="1" x14ac:dyDescent="0.25"/>
    <row r="2" spans="3:15" ht="15" customHeight="1" x14ac:dyDescent="0.25">
      <c r="C2" s="884" t="s">
        <v>1</v>
      </c>
      <c r="D2" s="884"/>
      <c r="E2" s="884"/>
      <c r="F2" s="885" t="str">
        <f>IF(Customer &lt;&gt; "", Customer, "")</f>
        <v>ULTRATECH TOOL&amp; DESIGN, INC.</v>
      </c>
      <c r="G2" s="885"/>
    </row>
    <row r="3" spans="3:15" ht="15" customHeight="1" x14ac:dyDescent="0.25">
      <c r="C3" s="884" t="s">
        <v>2</v>
      </c>
      <c r="D3" s="884"/>
      <c r="E3" s="884"/>
      <c r="F3" s="886" t="str">
        <f>IF(CalcDate &lt;&gt; "", CalcDate, "")</f>
        <v/>
      </c>
      <c r="G3" s="886"/>
    </row>
    <row r="4" spans="3:15" ht="15" customHeight="1" x14ac:dyDescent="0.25">
      <c r="C4" s="884" t="s">
        <v>3</v>
      </c>
      <c r="D4" s="884"/>
      <c r="E4" s="884"/>
      <c r="F4" s="885" t="str">
        <f>IF(Reference &lt;&gt;"", Reference, "")</f>
        <v/>
      </c>
      <c r="G4" s="885"/>
    </row>
    <row r="5" spans="3:15" ht="15" customHeight="1" thickBot="1" x14ac:dyDescent="0.3"/>
    <row r="6" spans="3:15" ht="15.75" thickBot="1" x14ac:dyDescent="0.3">
      <c r="C6" s="914" t="s">
        <v>1293</v>
      </c>
      <c r="D6" s="914"/>
      <c r="E6" s="914"/>
      <c r="F6" s="914"/>
      <c r="G6" s="914"/>
      <c r="K6" s="911" t="str">
        <f>FeedControls</f>
        <v>Sigma 5 Feed</v>
      </c>
      <c r="L6" s="912"/>
      <c r="M6" s="912"/>
      <c r="N6" s="912"/>
      <c r="O6" s="913"/>
    </row>
    <row r="7" spans="3:15" x14ac:dyDescent="0.25">
      <c r="C7" s="887" t="s">
        <v>49</v>
      </c>
      <c r="D7" s="887"/>
      <c r="E7" s="888"/>
      <c r="F7" s="891" t="str">
        <f>IF(TDDBHDOK="OK", [0]!reel_model, "")</f>
        <v>CPR-200</v>
      </c>
      <c r="G7" s="891"/>
      <c r="H7" s="444"/>
      <c r="I7" s="444"/>
      <c r="K7" s="520" t="str">
        <f ca="1">INDIRECT("'"&amp;VLOOKUP(FeedControls,LookupFeedType,2,FALSE)&amp;"'!"&amp;"$L$"&amp;TEXT(ROW()-5,"##0"))</f>
        <v>Length</v>
      </c>
      <c r="L7" s="517" t="str">
        <f ca="1">INDIRECT("'"&amp;VLOOKUP(FeedControls,LookupFeedType,2,FALSE)&amp;"'!"&amp;"$O$"&amp;TEXT(ROW()-5,"##0"))</f>
        <v>SPM @ 180 Deg.</v>
      </c>
      <c r="M7" s="517" t="str">
        <f ca="1">INDIRECT("'"&amp;VLOOKUP(FeedControls,LookupFeedType,2,FALSE)&amp;"'!"&amp;"$P$"&amp;TEXT(ROW()-5,"##0"))</f>
        <v>FPM</v>
      </c>
      <c r="N7" s="517" t="str">
        <f t="shared" ref="N7:N31" ca="1" si="0">INDIRECT("'"&amp;VLOOKUP(FeedControls,LookupFeedType,2,FALSE)&amp;"'!"&amp;"$R$"&amp;TEXT(ROW()-5,"##0"))</f>
        <v>SPM @ 240 Deg.</v>
      </c>
      <c r="O7" s="519" t="str">
        <f t="shared" ref="O7:O31" ca="1" si="1">INDIRECT("'"&amp;VLOOKUP(FeedControls,LookupFeedType,2,FALSE)&amp;"'!"&amp;"$S$"&amp;TEXT(ROW()-5,"##0"))</f>
        <v>FPM</v>
      </c>
    </row>
    <row r="8" spans="3:15" x14ac:dyDescent="0.25">
      <c r="C8" s="889" t="s">
        <v>1430</v>
      </c>
      <c r="D8" s="890"/>
      <c r="E8" s="890"/>
      <c r="F8" s="892">
        <f>IF(TDDBHDOK="OK", Reel_Width, "")</f>
        <v>42</v>
      </c>
      <c r="G8" s="893"/>
      <c r="H8" s="515"/>
      <c r="I8" s="2"/>
      <c r="K8" s="521">
        <f t="shared" ref="K8:K31" ca="1" si="2">INDIRECT("'"&amp;VLOOKUP(FeedControls,LookupFeedType,2,FALSE)&amp;"'!"&amp;"$L$"&amp;TEXT(ROW()-5,"##0"))</f>
        <v>10.659385939829363</v>
      </c>
      <c r="L8" s="518">
        <f t="shared" ref="L8:L31" ca="1" si="3">INDIRECT("'"&amp;VLOOKUP(FeedControls,LookupFeedType,2,FALSE)&amp;"'!"&amp;"$O$"&amp;TEXT(ROW()-5,"##0"))</f>
        <v>72.816437402870378</v>
      </c>
      <c r="M8" s="518">
        <f t="shared" ref="M8:M31" ca="1" si="4">INDIRECT("'"&amp;VLOOKUP(FeedControls,LookupFeedType,2,FALSE)&amp;"'!"&amp;"$P$"&amp;TEXT(ROW()-5,"##0"))</f>
        <v>64.681542420051784</v>
      </c>
      <c r="N8" s="518">
        <f t="shared" ca="1" si="0"/>
        <v>97.08858320382717</v>
      </c>
      <c r="O8" s="620">
        <f t="shared" ca="1" si="1"/>
        <v>86.242056560069045</v>
      </c>
    </row>
    <row r="9" spans="3:15" x14ac:dyDescent="0.25">
      <c r="C9" s="889" t="s">
        <v>133</v>
      </c>
      <c r="D9" s="890"/>
      <c r="E9" s="898"/>
      <c r="F9" s="894">
        <f>IF(TDDBHDOK="OK", Reel_Backplate, "")</f>
        <v>27</v>
      </c>
      <c r="G9" s="893"/>
      <c r="H9" s="515"/>
      <c r="I9" s="2"/>
      <c r="K9" s="521">
        <f t="shared" ca="1" si="2"/>
        <v>4</v>
      </c>
      <c r="L9" s="518">
        <f t="shared" ca="1" si="3"/>
        <v>112</v>
      </c>
      <c r="M9" s="518">
        <f t="shared" ca="1" si="4"/>
        <v>37.333333333333336</v>
      </c>
      <c r="N9" s="518">
        <f t="shared" ca="1" si="0"/>
        <v>150</v>
      </c>
      <c r="O9" s="620">
        <f t="shared" ca="1" si="1"/>
        <v>50</v>
      </c>
    </row>
    <row r="10" spans="3:15" x14ac:dyDescent="0.25">
      <c r="C10" s="889" t="s">
        <v>1429</v>
      </c>
      <c r="D10" s="890"/>
      <c r="E10" s="898"/>
      <c r="F10" s="894" t="str">
        <f>IF(TDDBHDOK="OK", SelectedReelType, "")</f>
        <v>PullOff</v>
      </c>
      <c r="G10" s="893"/>
      <c r="H10" s="515"/>
      <c r="I10" s="2"/>
      <c r="K10" s="521">
        <f t="shared" ca="1" si="2"/>
        <v>8</v>
      </c>
      <c r="L10" s="518">
        <f t="shared" ca="1" si="3"/>
        <v>82</v>
      </c>
      <c r="M10" s="518">
        <f t="shared" ca="1" si="4"/>
        <v>54.666666666666664</v>
      </c>
      <c r="N10" s="518">
        <f t="shared" ca="1" si="0"/>
        <v>110</v>
      </c>
      <c r="O10" s="620">
        <f t="shared" ca="1" si="1"/>
        <v>73.333333333333329</v>
      </c>
    </row>
    <row r="11" spans="3:15" x14ac:dyDescent="0.25">
      <c r="C11" s="889" t="s">
        <v>1440</v>
      </c>
      <c r="D11" s="890"/>
      <c r="E11" s="898"/>
      <c r="F11" s="894" t="str">
        <f>IF(TDDBHDOK="OK", ReelStyle, "")</f>
        <v>Single Ended</v>
      </c>
      <c r="G11" s="893"/>
      <c r="H11" s="515"/>
      <c r="I11" s="2"/>
      <c r="K11" s="521">
        <f t="shared" ca="1" si="2"/>
        <v>12</v>
      </c>
      <c r="L11" s="518">
        <f t="shared" ca="1" si="3"/>
        <v>68</v>
      </c>
      <c r="M11" s="518">
        <f t="shared" ca="1" si="4"/>
        <v>68</v>
      </c>
      <c r="N11" s="518">
        <f t="shared" ca="1" si="0"/>
        <v>91</v>
      </c>
      <c r="O11" s="620">
        <f t="shared" ca="1" si="1"/>
        <v>91</v>
      </c>
    </row>
    <row r="12" spans="3:15" x14ac:dyDescent="0.25">
      <c r="C12" s="895" t="s">
        <v>901</v>
      </c>
      <c r="D12" s="896"/>
      <c r="E12" s="896"/>
      <c r="F12" s="896"/>
      <c r="G12" s="897"/>
      <c r="H12" s="515"/>
      <c r="I12" s="2"/>
      <c r="K12" s="521">
        <f t="shared" ca="1" si="2"/>
        <v>16</v>
      </c>
      <c r="L12" s="518">
        <f t="shared" ca="1" si="3"/>
        <v>59</v>
      </c>
      <c r="M12" s="518">
        <f t="shared" ca="1" si="4"/>
        <v>78.666666666666671</v>
      </c>
      <c r="N12" s="518">
        <f t="shared" ca="1" si="0"/>
        <v>78</v>
      </c>
      <c r="O12" s="620">
        <f t="shared" ca="1" si="1"/>
        <v>104</v>
      </c>
    </row>
    <row r="13" spans="3:15" x14ac:dyDescent="0.25">
      <c r="C13" s="884" t="s">
        <v>50</v>
      </c>
      <c r="D13" s="884"/>
      <c r="E13" s="884"/>
      <c r="F13" s="894" t="str">
        <f>IF(AND(TDDBHDOK="OK", SelectedReelType&lt;&gt;"Motorized"), 'TD,DB,HD (1)'!air_clutch, "")</f>
        <v>Yes</v>
      </c>
      <c r="G13" s="893"/>
      <c r="H13" s="515"/>
      <c r="I13" s="2"/>
      <c r="K13" s="521">
        <f t="shared" ca="1" si="2"/>
        <v>20</v>
      </c>
      <c r="L13" s="518">
        <f t="shared" ca="1" si="3"/>
        <v>51</v>
      </c>
      <c r="M13" s="518">
        <f t="shared" ca="1" si="4"/>
        <v>85</v>
      </c>
      <c r="N13" s="518">
        <f t="shared" ca="1" si="0"/>
        <v>69</v>
      </c>
      <c r="O13" s="620">
        <f t="shared" ca="1" si="1"/>
        <v>115</v>
      </c>
    </row>
    <row r="14" spans="3:15" x14ac:dyDescent="0.25">
      <c r="C14" s="884" t="s">
        <v>5</v>
      </c>
      <c r="D14" s="884"/>
      <c r="E14" s="884"/>
      <c r="F14" s="894" t="str">
        <f>IF(AND(TDDBHDOK="OK", SelectedReelType&lt;&gt;"Motorized"), 'TD,DB,HD (1)'!hydthd, "")</f>
        <v>60 cu in (D-13374)</v>
      </c>
      <c r="G14" s="893"/>
      <c r="H14" s="445"/>
      <c r="I14" s="445"/>
      <c r="K14" s="521">
        <f t="shared" ca="1" si="2"/>
        <v>24</v>
      </c>
      <c r="L14" s="518">
        <f t="shared" ca="1" si="3"/>
        <v>46</v>
      </c>
      <c r="M14" s="518">
        <f t="shared" ca="1" si="4"/>
        <v>92</v>
      </c>
      <c r="N14" s="518">
        <f t="shared" ca="1" si="0"/>
        <v>60</v>
      </c>
      <c r="O14" s="620">
        <f t="shared" ca="1" si="1"/>
        <v>120</v>
      </c>
    </row>
    <row r="15" spans="3:15" x14ac:dyDescent="0.25">
      <c r="C15" s="895" t="s">
        <v>1075</v>
      </c>
      <c r="D15" s="896"/>
      <c r="E15" s="896"/>
      <c r="F15" s="896"/>
      <c r="G15" s="897"/>
      <c r="H15" s="515"/>
      <c r="I15" s="443"/>
      <c r="K15" s="521">
        <f t="shared" ca="1" si="2"/>
        <v>28</v>
      </c>
      <c r="L15" s="518">
        <f t="shared" ca="1" si="3"/>
        <v>41</v>
      </c>
      <c r="M15" s="518">
        <f t="shared" ca="1" si="4"/>
        <v>95.666666666666671</v>
      </c>
      <c r="N15" s="518">
        <f t="shared" ca="1" si="0"/>
        <v>51</v>
      </c>
      <c r="O15" s="620">
        <f t="shared" ca="1" si="1"/>
        <v>119</v>
      </c>
    </row>
    <row r="16" spans="3:15" x14ac:dyDescent="0.25">
      <c r="C16" s="884" t="s">
        <v>67</v>
      </c>
      <c r="D16" s="884"/>
      <c r="E16" s="884"/>
      <c r="F16" s="894" t="str">
        <f>IF(TDDBHDOK="OK", 'TD,DB,HD (1)'!holddown_assy, "")</f>
        <v>XD</v>
      </c>
      <c r="G16" s="893"/>
      <c r="H16" s="515"/>
      <c r="I16" s="23"/>
      <c r="K16" s="521">
        <f t="shared" ca="1" si="2"/>
        <v>32</v>
      </c>
      <c r="L16" s="518">
        <f t="shared" ca="1" si="3"/>
        <v>38</v>
      </c>
      <c r="M16" s="518">
        <f t="shared" ca="1" si="4"/>
        <v>101.33333333333333</v>
      </c>
      <c r="N16" s="518">
        <f t="shared" ca="1" si="0"/>
        <v>45</v>
      </c>
      <c r="O16" s="620">
        <f t="shared" ca="1" si="1"/>
        <v>120</v>
      </c>
    </row>
    <row r="17" spans="3:15" x14ac:dyDescent="0.25">
      <c r="C17" s="884" t="s">
        <v>1398</v>
      </c>
      <c r="D17" s="884"/>
      <c r="E17" s="884"/>
      <c r="F17" s="780">
        <f>IF(TDDBHDOK="OK", 'TD,DB,HD (1)'!holddown_pressure, "")</f>
        <v>750</v>
      </c>
      <c r="G17" s="779" t="str">
        <f>IF(TDDBHDOK="OK", 'TD,DB,HD (1)'!G20, "")</f>
        <v>psi Hydraulic</v>
      </c>
      <c r="H17" s="445"/>
      <c r="I17" s="445"/>
      <c r="K17" s="521">
        <f t="shared" ca="1" si="2"/>
        <v>36</v>
      </c>
      <c r="L17" s="518">
        <f t="shared" ca="1" si="3"/>
        <v>34</v>
      </c>
      <c r="M17" s="518">
        <f t="shared" ca="1" si="4"/>
        <v>102</v>
      </c>
      <c r="N17" s="518">
        <f t="shared" ca="1" si="0"/>
        <v>40</v>
      </c>
      <c r="O17" s="620">
        <f t="shared" ca="1" si="1"/>
        <v>120</v>
      </c>
    </row>
    <row r="18" spans="3:15" x14ac:dyDescent="0.25">
      <c r="C18" s="895" t="s">
        <v>1074</v>
      </c>
      <c r="D18" s="896"/>
      <c r="E18" s="896"/>
      <c r="F18" s="896"/>
      <c r="G18" s="897"/>
      <c r="H18" s="515"/>
      <c r="I18" s="23"/>
      <c r="K18" s="521">
        <f t="shared" ca="1" si="2"/>
        <v>40</v>
      </c>
      <c r="L18" s="518">
        <f t="shared" ca="1" si="3"/>
        <v>32</v>
      </c>
      <c r="M18" s="518">
        <f t="shared" ca="1" si="4"/>
        <v>106.66666666666667</v>
      </c>
      <c r="N18" s="518">
        <f t="shared" ca="1" si="0"/>
        <v>36</v>
      </c>
      <c r="O18" s="620">
        <f t="shared" ca="1" si="1"/>
        <v>120</v>
      </c>
    </row>
    <row r="19" spans="3:15" x14ac:dyDescent="0.25">
      <c r="C19" s="884" t="s">
        <v>37</v>
      </c>
      <c r="D19" s="884"/>
      <c r="E19" s="884"/>
      <c r="F19" s="915" t="str">
        <f>IF(TDDBHDOK="OK", 'TD,DB,HD (1)'!$J$19, "")</f>
        <v>Failsafe - Double Stage</v>
      </c>
      <c r="G19" s="915"/>
      <c r="H19" s="515"/>
      <c r="I19" s="23"/>
      <c r="K19" s="521">
        <f t="shared" ca="1" si="2"/>
        <v>44</v>
      </c>
      <c r="L19" s="518">
        <f t="shared" ca="1" si="3"/>
        <v>29</v>
      </c>
      <c r="M19" s="518">
        <f t="shared" ca="1" si="4"/>
        <v>106.33333333333333</v>
      </c>
      <c r="N19" s="518">
        <f t="shared" ca="1" si="0"/>
        <v>32</v>
      </c>
      <c r="O19" s="620">
        <f t="shared" ca="1" si="1"/>
        <v>117.33333333333333</v>
      </c>
    </row>
    <row r="20" spans="3:15" x14ac:dyDescent="0.25">
      <c r="C20" s="884" t="s">
        <v>38</v>
      </c>
      <c r="D20" s="884"/>
      <c r="E20" s="884"/>
      <c r="F20" s="894">
        <f>IF(TDDBHDOK="OK", 'TD,DB,HD (1)'!brake_qty, "")</f>
        <v>1</v>
      </c>
      <c r="G20" s="893"/>
      <c r="H20" s="445"/>
      <c r="I20" s="445"/>
      <c r="K20" s="521">
        <f t="shared" ca="1" si="2"/>
        <v>48</v>
      </c>
      <c r="L20" s="518">
        <f t="shared" ca="1" si="3"/>
        <v>27</v>
      </c>
      <c r="M20" s="518">
        <f t="shared" ca="1" si="4"/>
        <v>108</v>
      </c>
      <c r="N20" s="518">
        <f t="shared" ca="1" si="0"/>
        <v>30</v>
      </c>
      <c r="O20" s="620">
        <f t="shared" ca="1" si="1"/>
        <v>120</v>
      </c>
    </row>
    <row r="21" spans="3:15" x14ac:dyDescent="0.25">
      <c r="H21" s="515"/>
      <c r="I21" s="23"/>
      <c r="K21" s="521">
        <f t="shared" ca="1" si="2"/>
        <v>52</v>
      </c>
      <c r="L21" s="518">
        <f t="shared" ca="1" si="3"/>
        <v>26</v>
      </c>
      <c r="M21" s="518">
        <f t="shared" ca="1" si="4"/>
        <v>112.66666666666667</v>
      </c>
      <c r="N21" s="518">
        <f t="shared" ca="1" si="0"/>
        <v>27</v>
      </c>
      <c r="O21" s="620">
        <f t="shared" ca="1" si="1"/>
        <v>117</v>
      </c>
    </row>
    <row r="22" spans="3:15" x14ac:dyDescent="0.25">
      <c r="C22" s="914" t="s">
        <v>134</v>
      </c>
      <c r="D22" s="914"/>
      <c r="E22" s="914"/>
      <c r="F22" s="914"/>
      <c r="G22" s="914"/>
      <c r="H22" s="445"/>
      <c r="I22" s="445"/>
      <c r="K22" s="521">
        <f t="shared" ca="1" si="2"/>
        <v>56</v>
      </c>
      <c r="L22" s="518">
        <f t="shared" ca="1" si="3"/>
        <v>24</v>
      </c>
      <c r="M22" s="518">
        <f t="shared" ca="1" si="4"/>
        <v>112</v>
      </c>
      <c r="N22" s="518">
        <f t="shared" ca="1" si="0"/>
        <v>25</v>
      </c>
      <c r="O22" s="620">
        <f t="shared" ca="1" si="1"/>
        <v>116.66666666666667</v>
      </c>
    </row>
    <row r="23" spans="3:15" x14ac:dyDescent="0.25">
      <c r="C23" s="889" t="s">
        <v>132</v>
      </c>
      <c r="D23" s="890"/>
      <c r="E23" s="898"/>
      <c r="F23" s="894" t="str">
        <f>IF(ReelDriveOK="OK", 'Reel Drive'!$B$9, "")</f>
        <v/>
      </c>
      <c r="G23" s="893"/>
      <c r="H23" s="515"/>
      <c r="I23" s="23"/>
      <c r="K23" s="521">
        <f t="shared" ca="1" si="2"/>
        <v>60</v>
      </c>
      <c r="L23" s="518">
        <f t="shared" ca="1" si="3"/>
        <v>23</v>
      </c>
      <c r="M23" s="518">
        <f t="shared" ca="1" si="4"/>
        <v>115</v>
      </c>
      <c r="N23" s="518">
        <f t="shared" ca="1" si="0"/>
        <v>24</v>
      </c>
      <c r="O23" s="620">
        <f t="shared" ca="1" si="1"/>
        <v>120</v>
      </c>
    </row>
    <row r="24" spans="3:15" x14ac:dyDescent="0.25">
      <c r="C24" s="889" t="s">
        <v>135</v>
      </c>
      <c r="D24" s="890"/>
      <c r="E24" s="898"/>
      <c r="F24" s="894" t="str">
        <f>IF(ReelDriveOK="OK", 'Reel Drive'!$B$31, "")</f>
        <v/>
      </c>
      <c r="G24" s="893"/>
      <c r="H24" s="515"/>
      <c r="I24" s="23"/>
      <c r="K24" s="521">
        <f t="shared" ca="1" si="2"/>
        <v>64</v>
      </c>
      <c r="L24" s="518">
        <f t="shared" ca="1" si="3"/>
        <v>22</v>
      </c>
      <c r="M24" s="518">
        <f t="shared" ca="1" si="4"/>
        <v>117.33333333333333</v>
      </c>
      <c r="N24" s="518">
        <f t="shared" ca="1" si="0"/>
        <v>22</v>
      </c>
      <c r="O24" s="620">
        <f t="shared" ca="1" si="1"/>
        <v>117.33333333333333</v>
      </c>
    </row>
    <row r="25" spans="3:15" x14ac:dyDescent="0.25">
      <c r="C25" s="889" t="s">
        <v>136</v>
      </c>
      <c r="D25" s="890"/>
      <c r="E25" s="898"/>
      <c r="F25" s="894" t="str">
        <f>IF(ReelDriveOK="OK", 'Reel Drive'!$B$32, "")</f>
        <v/>
      </c>
      <c r="G25" s="893"/>
      <c r="H25" s="445"/>
      <c r="I25" s="445"/>
      <c r="K25" s="521">
        <f t="shared" ca="1" si="2"/>
        <v>68</v>
      </c>
      <c r="L25" s="518">
        <f t="shared" ca="1" si="3"/>
        <v>21</v>
      </c>
      <c r="M25" s="518">
        <f t="shared" ca="1" si="4"/>
        <v>119</v>
      </c>
      <c r="N25" s="518">
        <f t="shared" ca="1" si="0"/>
        <v>21</v>
      </c>
      <c r="O25" s="620">
        <f t="shared" ca="1" si="1"/>
        <v>119</v>
      </c>
    </row>
    <row r="26" spans="3:15" x14ac:dyDescent="0.25">
      <c r="C26" s="889" t="s">
        <v>137</v>
      </c>
      <c r="D26" s="890"/>
      <c r="E26" s="898"/>
      <c r="F26" s="894" t="str">
        <f>IF(ReelDriveOK="OK", 'Reel Drive'!$E$37, "")</f>
        <v/>
      </c>
      <c r="G26" s="893"/>
      <c r="H26" s="515"/>
      <c r="I26" s="23"/>
      <c r="K26" s="521">
        <f t="shared" ca="1" si="2"/>
        <v>72</v>
      </c>
      <c r="L26" s="518">
        <f t="shared" ca="1" si="3"/>
        <v>20</v>
      </c>
      <c r="M26" s="518">
        <f t="shared" ca="1" si="4"/>
        <v>120</v>
      </c>
      <c r="N26" s="518">
        <f t="shared" ca="1" si="0"/>
        <v>20</v>
      </c>
      <c r="O26" s="620">
        <f t="shared" ca="1" si="1"/>
        <v>120</v>
      </c>
    </row>
    <row r="27" spans="3:15" x14ac:dyDescent="0.25">
      <c r="C27" s="905"/>
      <c r="D27" s="905"/>
      <c r="E27" s="905"/>
      <c r="F27" s="906"/>
      <c r="G27" s="906"/>
      <c r="H27" s="515"/>
      <c r="I27" s="23"/>
      <c r="K27" s="521">
        <f t="shared" ca="1" si="2"/>
        <v>76</v>
      </c>
      <c r="L27" s="518">
        <f t="shared" ca="1" si="3"/>
        <v>18</v>
      </c>
      <c r="M27" s="518">
        <f t="shared" ca="1" si="4"/>
        <v>114</v>
      </c>
      <c r="N27" s="518">
        <f t="shared" ca="1" si="0"/>
        <v>18</v>
      </c>
      <c r="O27" s="620">
        <f t="shared" ca="1" si="1"/>
        <v>114</v>
      </c>
    </row>
    <row r="28" spans="3:15" x14ac:dyDescent="0.25">
      <c r="C28" s="916" t="s">
        <v>1073</v>
      </c>
      <c r="D28" s="916"/>
      <c r="E28" s="916"/>
      <c r="F28" s="916"/>
      <c r="G28" s="916"/>
      <c r="H28" s="515"/>
      <c r="I28" s="23"/>
      <c r="K28" s="521">
        <f t="shared" ca="1" si="2"/>
        <v>80</v>
      </c>
      <c r="L28" s="518">
        <f t="shared" ca="1" si="3"/>
        <v>18</v>
      </c>
      <c r="M28" s="518">
        <f t="shared" ca="1" si="4"/>
        <v>120</v>
      </c>
      <c r="N28" s="518">
        <f t="shared" ca="1" si="0"/>
        <v>18</v>
      </c>
      <c r="O28" s="620">
        <f t="shared" ca="1" si="1"/>
        <v>120</v>
      </c>
    </row>
    <row r="29" spans="3:15" x14ac:dyDescent="0.25">
      <c r="C29" s="887" t="s">
        <v>352</v>
      </c>
      <c r="D29" s="887"/>
      <c r="E29" s="887"/>
      <c r="F29" s="902" t="str">
        <f>IF(AllStrOK="OK", 'Str. Utility (1)'!model, "")</f>
        <v>CPPS-507</v>
      </c>
      <c r="G29" s="903"/>
      <c r="H29" s="515"/>
      <c r="I29" s="23"/>
      <c r="K29" s="521">
        <f t="shared" ca="1" si="2"/>
        <v>84</v>
      </c>
      <c r="L29" s="518">
        <f t="shared" ca="1" si="3"/>
        <v>17</v>
      </c>
      <c r="M29" s="518">
        <f t="shared" ca="1" si="4"/>
        <v>119</v>
      </c>
      <c r="N29" s="518">
        <f t="shared" ca="1" si="0"/>
        <v>17</v>
      </c>
      <c r="O29" s="620">
        <f t="shared" ca="1" si="1"/>
        <v>119</v>
      </c>
    </row>
    <row r="30" spans="3:15" x14ac:dyDescent="0.25">
      <c r="C30" s="908" t="s">
        <v>1076</v>
      </c>
      <c r="D30" s="909"/>
      <c r="E30" s="910"/>
      <c r="F30" s="894" t="str">
        <f>IF(AllStrOK="OK", RollSelection, "")</f>
        <v>7 Roll Str. Backbend</v>
      </c>
      <c r="G30" s="893"/>
      <c r="H30" s="515"/>
      <c r="I30" s="23"/>
      <c r="K30" s="521">
        <f t="shared" ca="1" si="2"/>
        <v>88</v>
      </c>
      <c r="L30" s="518">
        <f t="shared" ca="1" si="3"/>
        <v>16</v>
      </c>
      <c r="M30" s="518">
        <f t="shared" ca="1" si="4"/>
        <v>117.33333333333333</v>
      </c>
      <c r="N30" s="518">
        <f t="shared" ca="1" si="0"/>
        <v>16</v>
      </c>
      <c r="O30" s="620">
        <f t="shared" ca="1" si="1"/>
        <v>117.33333333333333</v>
      </c>
    </row>
    <row r="31" spans="3:15" x14ac:dyDescent="0.25">
      <c r="C31" s="889" t="s">
        <v>1397</v>
      </c>
      <c r="D31" s="890"/>
      <c r="E31" s="898"/>
      <c r="F31" s="894" t="str">
        <f>IF(AllStrOK="OK", 'Str. Utility (1)'!$F$37, "")</f>
        <v>Not Required</v>
      </c>
      <c r="G31" s="893"/>
      <c r="H31" s="515"/>
      <c r="I31" s="23"/>
      <c r="K31" s="521">
        <f t="shared" ca="1" si="2"/>
        <v>92</v>
      </c>
      <c r="L31" s="518">
        <f t="shared" ca="1" si="3"/>
        <v>15</v>
      </c>
      <c r="M31" s="518">
        <f t="shared" ca="1" si="4"/>
        <v>115</v>
      </c>
      <c r="N31" s="518">
        <f t="shared" ca="1" si="0"/>
        <v>15</v>
      </c>
      <c r="O31" s="620">
        <f t="shared" ca="1" si="1"/>
        <v>115</v>
      </c>
    </row>
    <row r="32" spans="3:15" x14ac:dyDescent="0.25">
      <c r="C32" s="887" t="s">
        <v>302</v>
      </c>
      <c r="D32" s="887"/>
      <c r="E32" s="887"/>
      <c r="F32" s="902" t="str">
        <f>IF(AllStrOK="OK", 'Str. Utility (1)'!$B$8, "")</f>
        <v>TOP</v>
      </c>
      <c r="G32" s="903"/>
      <c r="H32" s="515"/>
      <c r="I32" s="23"/>
    </row>
    <row r="33" spans="3:17" x14ac:dyDescent="0.25">
      <c r="C33" s="887" t="s">
        <v>831</v>
      </c>
      <c r="D33" s="887"/>
      <c r="E33" s="887"/>
      <c r="F33" s="902">
        <f>IF(AllStrOK="OK", 'Str. Utility (1)'!str_width, "")</f>
        <v>42</v>
      </c>
      <c r="G33" s="903"/>
      <c r="H33" s="515"/>
      <c r="I33" s="23"/>
    </row>
    <row r="34" spans="3:17" x14ac:dyDescent="0.25">
      <c r="C34" s="887" t="s">
        <v>832</v>
      </c>
      <c r="D34" s="887"/>
      <c r="E34" s="887"/>
      <c r="F34" s="902">
        <f>IF(AllStrOK="OK", 'Str. Utility (1)'!fpm, "")</f>
        <v>120</v>
      </c>
      <c r="G34" s="903"/>
    </row>
    <row r="35" spans="3:17" x14ac:dyDescent="0.25">
      <c r="C35" s="887" t="s">
        <v>833</v>
      </c>
      <c r="D35" s="887"/>
      <c r="E35" s="887"/>
      <c r="F35" s="902">
        <f>IF(AllStrOK="OK", 'Str. Utility (1)'!accel, "")</f>
        <v>1</v>
      </c>
      <c r="G35" s="903"/>
    </row>
    <row r="36" spans="3:17" x14ac:dyDescent="0.25">
      <c r="C36" s="887" t="s">
        <v>834</v>
      </c>
      <c r="D36" s="887"/>
      <c r="E36" s="887"/>
      <c r="F36" s="902">
        <f>IF(AllStrOK="OK", 'Str. Utility (1)'!HP, "")</f>
        <v>50</v>
      </c>
      <c r="G36" s="903"/>
    </row>
    <row r="37" spans="3:17" x14ac:dyDescent="0.25">
      <c r="C37" s="907"/>
      <c r="D37" s="907"/>
      <c r="E37" s="907"/>
      <c r="F37" s="907"/>
      <c r="G37" s="907"/>
      <c r="H37" s="445"/>
      <c r="Q37" s="523"/>
    </row>
    <row r="38" spans="3:17" x14ac:dyDescent="0.25">
      <c r="C38" s="914" t="str">
        <f>FeedControls</f>
        <v>Sigma 5 Feed</v>
      </c>
      <c r="D38" s="914"/>
      <c r="E38" s="914"/>
      <c r="F38" s="914"/>
      <c r="G38" s="914"/>
      <c r="H38" s="23"/>
      <c r="Q38" s="523"/>
    </row>
    <row r="39" spans="3:17" x14ac:dyDescent="0.25">
      <c r="C39" s="889" t="s">
        <v>438</v>
      </c>
      <c r="D39" s="890"/>
      <c r="E39" s="898"/>
      <c r="F39" s="894" t="str">
        <f ca="1">_xlfn.IFNA(IF(VLOOKUP(FeedControls,LookupFeedType,12,FALSE)="OK", VLOOKUP(FeedControls,LookupFeedType, 3, FALSE), ""),"")</f>
        <v>Press Feed</v>
      </c>
      <c r="G39" s="893"/>
      <c r="H39" s="23"/>
      <c r="Q39" s="523"/>
    </row>
    <row r="40" spans="3:17" x14ac:dyDescent="0.25">
      <c r="C40" s="889" t="s">
        <v>160</v>
      </c>
      <c r="D40" s="890"/>
      <c r="E40" s="898"/>
      <c r="F40" s="894" t="str">
        <f ca="1">_xlfn.IFNA(IF(VLOOKUP(FeedControls,LookupFeedType,12,FALSE)="OK", VLOOKUP(FeedControls,LookupFeedType, 4, FALSE), ""), "")</f>
        <v>CPRF-S8</v>
      </c>
      <c r="G40" s="893"/>
      <c r="H40" s="23"/>
      <c r="Q40" s="523"/>
    </row>
    <row r="41" spans="3:17" x14ac:dyDescent="0.25">
      <c r="C41" s="889" t="s">
        <v>442</v>
      </c>
      <c r="D41" s="890"/>
      <c r="E41" s="898"/>
      <c r="F41" s="894">
        <f ca="1">_xlfn.IFNA(IF(VLOOKUP(FeedControls,LookupFeedType,12,FALSE)="OK", VLOOKUP(FeedControls,LookupFeedType, 5, FALSE), ""), "")</f>
        <v>42</v>
      </c>
      <c r="G41" s="893"/>
      <c r="H41" s="23"/>
      <c r="Q41" s="523"/>
    </row>
    <row r="42" spans="3:17" x14ac:dyDescent="0.25">
      <c r="C42" s="889" t="s">
        <v>444</v>
      </c>
      <c r="D42" s="890"/>
      <c r="E42" s="898"/>
      <c r="F42" s="894" t="str">
        <f ca="1">_xlfn.IFNA(IF(VLOOKUP(FeedControls,LookupFeedType,12,FALSE)="OK", VLOOKUP(FeedControls,LookupFeedType, 6, FALSE), ""), "")</f>
        <v>N</v>
      </c>
      <c r="G42" s="893"/>
      <c r="H42" s="23"/>
      <c r="Q42" s="523"/>
    </row>
    <row r="43" spans="3:17" x14ac:dyDescent="0.25">
      <c r="C43" s="889" t="s">
        <v>446</v>
      </c>
      <c r="D43" s="890"/>
      <c r="E43" s="898"/>
      <c r="F43" s="894" t="str">
        <f ca="1">_xlfn.IFNA(IF(VLOOKUP(FeedControls,LookupFeedType,12,FALSE)="OK", VLOOKUP(FeedControls,LookupFeedType, 7, FALSE), ""), "")</f>
        <v>Y</v>
      </c>
      <c r="G43" s="893"/>
      <c r="H43" s="629" t="str">
        <f ca="1">_xlfn.IFNA(IF(VLOOKUP(FeedControls,LookupFeedType,12,FALSE)="OK", VLOOKUP(FeedControls,LookupFeedType, 18, FALSE), ""),"Deg.")</f>
        <v>Deg.</v>
      </c>
      <c r="Q43" s="523"/>
    </row>
    <row r="44" spans="3:17" x14ac:dyDescent="0.25">
      <c r="C44" s="899" t="str">
        <f ca="1">_xlfn.IFNA(IF(VLOOKUP(FeedControls,LookupFeedType,12,FALSE)="OK", VLOOKUP(FeedControls,LookupFeedType, 16, FALSE), ""),"Feed Angle 1")</f>
        <v>Feed Angle 1</v>
      </c>
      <c r="D44" s="900"/>
      <c r="E44" s="901"/>
      <c r="F44" s="894">
        <f ca="1">_xlfn.IFNA(IF(VLOOKUP(FeedControls,LookupFeedType,12,FALSE)="OK", VLOOKUP(FeedControls,LookupFeedType, 8, FALSE), ""), "")</f>
        <v>180</v>
      </c>
      <c r="G44" s="893"/>
      <c r="H44" s="629" t="str">
        <f ca="1">_xlfn.IFNA(IF(VLOOKUP(FeedControls,LookupFeedType,12,FALSE)="OK", VLOOKUP(FeedControls,LookupFeedType, 19, FALSE), ""),"Deg.")</f>
        <v>Deg.</v>
      </c>
      <c r="Q44" s="523"/>
    </row>
    <row r="45" spans="3:17" x14ac:dyDescent="0.25">
      <c r="C45" s="899" t="str">
        <f ca="1">_xlfn.IFNA(IF(VLOOKUP(FeedControls,LookupFeedType,12,FALSE)="OK",VLOOKUP(FeedControls,LookupFeedType,17,FALSE),""),"Feed Angle 2")</f>
        <v>Feed Angle 2</v>
      </c>
      <c r="D45" s="900"/>
      <c r="E45" s="901"/>
      <c r="F45" s="894">
        <f ca="1">_xlfn.IFNA(IF(VLOOKUP(FeedControls,LookupFeedType,12,FALSE)="OK", VLOOKUP(FeedControls,LookupFeedType, 9, FALSE), ""), "")</f>
        <v>240</v>
      </c>
      <c r="G45" s="893"/>
      <c r="H45" s="522"/>
      <c r="Q45" s="523"/>
    </row>
    <row r="46" spans="3:17" x14ac:dyDescent="0.25">
      <c r="C46" s="889" t="s">
        <v>1121</v>
      </c>
      <c r="D46" s="890"/>
      <c r="E46" s="898"/>
      <c r="F46" s="894">
        <f ca="1">_xlfn.IFNA(IF(VLOOKUP(FeedControls,LookupFeedType,12,FALSE)="OK", VLOOKUP(FeedControls,LookupFeedType, 13, FALSE), ""), "")</f>
        <v>48</v>
      </c>
      <c r="G46" s="893"/>
      <c r="H46" s="522"/>
      <c r="Q46" s="523"/>
    </row>
    <row r="47" spans="3:17" x14ac:dyDescent="0.25">
      <c r="C47" s="889" t="s">
        <v>1128</v>
      </c>
      <c r="D47" s="890"/>
      <c r="E47" s="898"/>
      <c r="F47" s="917">
        <f ca="1">_xlfn.IFNA(IF(VLOOKUP(FeedControls,LookupFeedType,12,FALSE)="OK", VLOOKUP(FeedControls,LookupFeedType, 14, FALSE), ""), "")</f>
        <v>282.74616628474422</v>
      </c>
      <c r="G47" s="918"/>
      <c r="H47" s="522"/>
      <c r="Q47" s="523"/>
    </row>
    <row r="48" spans="3:17" x14ac:dyDescent="0.25">
      <c r="C48" s="889" t="s">
        <v>833</v>
      </c>
      <c r="D48" s="890"/>
      <c r="E48" s="898"/>
      <c r="F48" s="917">
        <f ca="1">_xlfn.IFNA(IF(VLOOKUP(FeedControls,LookupFeedType,12,FALSE)="OK", VLOOKUP(FeedControls,LookupFeedType, 20, FALSE), ""), "")</f>
        <v>25</v>
      </c>
      <c r="G48" s="918"/>
      <c r="H48" s="522"/>
      <c r="Q48" s="523"/>
    </row>
    <row r="49" spans="3:17" x14ac:dyDescent="0.25">
      <c r="C49" s="889" t="s">
        <v>224</v>
      </c>
      <c r="D49" s="890"/>
      <c r="E49" s="898"/>
      <c r="F49" s="894">
        <f ca="1">_xlfn.IFNA(IF(VLOOKUP(FeedControls,LookupFeedType,12,FALSE)="OK", VLOOKUP(FeedControls,LookupFeedType, 15, FALSE), ""), "")</f>
        <v>11.111000000000001</v>
      </c>
      <c r="G49" s="893"/>
      <c r="Q49" s="523"/>
    </row>
    <row r="50" spans="3:17" x14ac:dyDescent="0.25">
      <c r="C50" s="889" t="s">
        <v>1077</v>
      </c>
      <c r="D50" s="890"/>
      <c r="E50" s="898"/>
      <c r="F50" s="894" t="str">
        <f ca="1">_xlfn.IFNA(IF(VLOOKUP(FeedControls,LookupFeedType,12,FALSE)="OK", VLOOKUP(FeedControls,LookupFeedType, 10, FALSE), ""), "")</f>
        <v>N/A</v>
      </c>
      <c r="G50" s="893"/>
      <c r="Q50" s="523"/>
    </row>
    <row r="51" spans="3:17" x14ac:dyDescent="0.25">
      <c r="C51" s="889" t="s">
        <v>1078</v>
      </c>
      <c r="D51" s="890"/>
      <c r="E51" s="898"/>
      <c r="F51" s="894" t="str">
        <f ca="1">_xlfn.IFNA(IF(VLOOKUP(FeedControls,LookupFeedType,12,FALSE)="OK", VLOOKUP(FeedControls,LookupFeedType, 11, FALSE), ""), "")</f>
        <v>N/A</v>
      </c>
      <c r="G51" s="893"/>
      <c r="Q51" s="523"/>
    </row>
    <row r="52" spans="3:17" x14ac:dyDescent="0.25">
      <c r="C52" s="907"/>
      <c r="D52" s="907"/>
      <c r="E52" s="907"/>
      <c r="F52" s="907"/>
      <c r="G52" s="907"/>
      <c r="Q52" s="523"/>
    </row>
    <row r="53" spans="3:17" x14ac:dyDescent="0.25">
      <c r="C53" s="908" t="s">
        <v>836</v>
      </c>
      <c r="D53" s="909"/>
      <c r="E53" s="910"/>
      <c r="F53" s="894" t="str">
        <f>FeedDirection</f>
        <v>L to R</v>
      </c>
      <c r="G53" s="893"/>
      <c r="Q53" s="523"/>
    </row>
    <row r="54" spans="3:17" x14ac:dyDescent="0.25">
      <c r="C54" s="908" t="s">
        <v>837</v>
      </c>
      <c r="D54" s="909"/>
      <c r="E54" s="910"/>
      <c r="F54" s="894" t="str">
        <f>ControlsLevel</f>
        <v>SyncMaster</v>
      </c>
      <c r="G54" s="893"/>
      <c r="Q54" s="523"/>
    </row>
    <row r="55" spans="3:17" x14ac:dyDescent="0.25">
      <c r="C55" s="908" t="s">
        <v>824</v>
      </c>
      <c r="D55" s="909"/>
      <c r="E55" s="910"/>
      <c r="F55" s="894" t="str">
        <f>TypeOfLine</f>
        <v>Conventional</v>
      </c>
      <c r="G55" s="893"/>
      <c r="Q55" s="523"/>
    </row>
    <row r="56" spans="3:17" x14ac:dyDescent="0.25">
      <c r="C56" s="889" t="s">
        <v>900</v>
      </c>
      <c r="D56" s="890"/>
      <c r="E56" s="898"/>
      <c r="F56" s="894" t="str">
        <f>Passline</f>
        <v>55"</v>
      </c>
      <c r="G56" s="893"/>
      <c r="Q56" s="523"/>
    </row>
    <row r="57" spans="3:17" x14ac:dyDescent="0.25">
      <c r="C57" s="884" t="s">
        <v>1449</v>
      </c>
      <c r="D57" s="884"/>
      <c r="E57" s="884"/>
      <c r="F57" s="904" t="str">
        <f>LightGauge</f>
        <v>NO</v>
      </c>
      <c r="G57" s="904"/>
      <c r="Q57" s="523"/>
    </row>
    <row r="58" spans="3:17" x14ac:dyDescent="0.25">
      <c r="C58" s="884" t="s">
        <v>1451</v>
      </c>
      <c r="D58" s="884"/>
      <c r="E58" s="884"/>
      <c r="F58" s="904" t="str">
        <f>NonMarking</f>
        <v>Yes</v>
      </c>
      <c r="G58" s="904"/>
      <c r="Q58" s="523"/>
    </row>
    <row r="59" spans="3:17" x14ac:dyDescent="0.25">
      <c r="Q59" s="523"/>
    </row>
    <row r="60" spans="3:17" x14ac:dyDescent="0.25">
      <c r="Q60" s="523"/>
    </row>
    <row r="61" spans="3:17" x14ac:dyDescent="0.25">
      <c r="Q61" s="523"/>
    </row>
    <row r="62" spans="3:17" x14ac:dyDescent="0.25">
      <c r="Q62" s="523"/>
    </row>
    <row r="63" spans="3:17" x14ac:dyDescent="0.25">
      <c r="Q63" s="523"/>
    </row>
    <row r="64" spans="3:17" x14ac:dyDescent="0.25">
      <c r="Q64" s="523"/>
    </row>
    <row r="65" spans="17:17" x14ac:dyDescent="0.25">
      <c r="Q65" s="523"/>
    </row>
  </sheetData>
  <sheetProtection algorithmName="SHA-512" hashValue="DgoDtwoT22t/LBI8X9YEGd/iungTKElLGcgxGPkKUXmpGdagrHTVF1/WApMPyt0JmnvSb79lR/O5eNL4SjizKQ==" saltValue="ZPuSHFOBh9k8v2sP3EEE4w==" spinCount="100000" sheet="1" objects="1" scenarios="1"/>
  <mergeCells count="103">
    <mergeCell ref="F56:G56"/>
    <mergeCell ref="C30:E30"/>
    <mergeCell ref="F30:G30"/>
    <mergeCell ref="C50:E50"/>
    <mergeCell ref="C51:E51"/>
    <mergeCell ref="F51:G51"/>
    <mergeCell ref="C45:E45"/>
    <mergeCell ref="F45:G45"/>
    <mergeCell ref="C38:G38"/>
    <mergeCell ref="C39:E39"/>
    <mergeCell ref="F39:G39"/>
    <mergeCell ref="C40:E40"/>
    <mergeCell ref="F40:G40"/>
    <mergeCell ref="C53:E53"/>
    <mergeCell ref="C48:E48"/>
    <mergeCell ref="F48:G48"/>
    <mergeCell ref="F55:G55"/>
    <mergeCell ref="F50:G50"/>
    <mergeCell ref="C46:E46"/>
    <mergeCell ref="C47:E47"/>
    <mergeCell ref="C49:E49"/>
    <mergeCell ref="F46:G46"/>
    <mergeCell ref="F47:G47"/>
    <mergeCell ref="F49:G49"/>
    <mergeCell ref="K6:O6"/>
    <mergeCell ref="F35:G35"/>
    <mergeCell ref="F36:G36"/>
    <mergeCell ref="C32:E32"/>
    <mergeCell ref="C33:E33"/>
    <mergeCell ref="C34:E34"/>
    <mergeCell ref="C35:E35"/>
    <mergeCell ref="C24:E24"/>
    <mergeCell ref="F24:G24"/>
    <mergeCell ref="C23:E23"/>
    <mergeCell ref="C22:G22"/>
    <mergeCell ref="C19:E19"/>
    <mergeCell ref="F19:G19"/>
    <mergeCell ref="C13:E13"/>
    <mergeCell ref="C14:E14"/>
    <mergeCell ref="C15:G15"/>
    <mergeCell ref="C6:G6"/>
    <mergeCell ref="C26:E26"/>
    <mergeCell ref="C28:G28"/>
    <mergeCell ref="C29:E29"/>
    <mergeCell ref="F29:G29"/>
    <mergeCell ref="F26:G26"/>
    <mergeCell ref="C25:E25"/>
    <mergeCell ref="C18:G18"/>
    <mergeCell ref="C58:E58"/>
    <mergeCell ref="F58:G58"/>
    <mergeCell ref="C57:E57"/>
    <mergeCell ref="F57:G57"/>
    <mergeCell ref="C27:E27"/>
    <mergeCell ref="F27:G27"/>
    <mergeCell ref="F37:G37"/>
    <mergeCell ref="C37:E37"/>
    <mergeCell ref="F52:G52"/>
    <mergeCell ref="C54:E54"/>
    <mergeCell ref="C55:E55"/>
    <mergeCell ref="C56:E56"/>
    <mergeCell ref="F53:G53"/>
    <mergeCell ref="F41:G41"/>
    <mergeCell ref="C42:E42"/>
    <mergeCell ref="F42:G42"/>
    <mergeCell ref="C36:E36"/>
    <mergeCell ref="C52:E52"/>
    <mergeCell ref="F33:G33"/>
    <mergeCell ref="F34:G34"/>
    <mergeCell ref="C41:E41"/>
    <mergeCell ref="C43:E43"/>
    <mergeCell ref="F43:G43"/>
    <mergeCell ref="F54:G54"/>
    <mergeCell ref="F13:G13"/>
    <mergeCell ref="C12:G12"/>
    <mergeCell ref="C16:E16"/>
    <mergeCell ref="C9:E9"/>
    <mergeCell ref="F9:G9"/>
    <mergeCell ref="F20:G20"/>
    <mergeCell ref="C10:E10"/>
    <mergeCell ref="C44:E44"/>
    <mergeCell ref="F44:G44"/>
    <mergeCell ref="F10:G10"/>
    <mergeCell ref="C11:E11"/>
    <mergeCell ref="F11:G11"/>
    <mergeCell ref="C17:E17"/>
    <mergeCell ref="F16:G16"/>
    <mergeCell ref="C31:E31"/>
    <mergeCell ref="F31:G31"/>
    <mergeCell ref="F23:G23"/>
    <mergeCell ref="C20:E20"/>
    <mergeCell ref="F14:G14"/>
    <mergeCell ref="F25:G25"/>
    <mergeCell ref="F32:G32"/>
    <mergeCell ref="C2:E2"/>
    <mergeCell ref="C3:E3"/>
    <mergeCell ref="C4:E4"/>
    <mergeCell ref="F2:G2"/>
    <mergeCell ref="F3:G3"/>
    <mergeCell ref="F4:G4"/>
    <mergeCell ref="C7:E7"/>
    <mergeCell ref="C8:E8"/>
    <mergeCell ref="F7:G7"/>
    <mergeCell ref="F8:G8"/>
  </mergeCells>
  <conditionalFormatting sqref="F39:G45 F50:G51 F46:F49 F29:G36 F6:G9 F23:G26 F12:G20">
    <cfRule type="expression" dxfId="346" priority="6">
      <formula>IF(Customer="",TRUE,FALSE)</formula>
    </cfRule>
  </conditionalFormatting>
  <conditionalFormatting sqref="F30">
    <cfRule type="cellIs" dxfId="345" priority="3" operator="equal">
      <formula>"11 Roll Str. Backbend"</formula>
    </cfRule>
    <cfRule type="cellIs" dxfId="344" priority="4" operator="equal">
      <formula>"9 Roll Str. Backbend"</formula>
    </cfRule>
    <cfRule type="cellIs" dxfId="343" priority="5" operator="equal">
      <formula>"7 Roll Str. Backbend"</formula>
    </cfRule>
  </conditionalFormatting>
  <conditionalFormatting sqref="F10:G10">
    <cfRule type="expression" dxfId="342" priority="2">
      <formula>IF(Customer="",TRUE,FALSE)</formula>
    </cfRule>
  </conditionalFormatting>
  <conditionalFormatting sqref="F11:G11">
    <cfRule type="expression" dxfId="341" priority="1">
      <formula>IF(Customer="",TRUE,FALSE)</formula>
    </cfRule>
  </conditionalFormatting>
  <pageMargins left="0.7" right="0.7" top="0.5" bottom="0.5" header="0.3" footer="0.3"/>
  <pageSetup scale="71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Tbl_Contents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4</xdr:col>
                    <xdr:colOff>123825</xdr:colOff>
                    <xdr:row>0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:W67"/>
  <sheetViews>
    <sheetView zoomScaleNormal="100" workbookViewId="0">
      <selection activeCell="F19" sqref="F19"/>
    </sheetView>
  </sheetViews>
  <sheetFormatPr defaultRowHeight="15" x14ac:dyDescent="0.25"/>
  <cols>
    <col min="1" max="1" width="20.28515625" customWidth="1"/>
    <col min="2" max="2" width="15.7109375" customWidth="1"/>
    <col min="3" max="3" width="9.85546875" customWidth="1"/>
    <col min="4" max="4" width="9.28515625" customWidth="1"/>
    <col min="5" max="5" width="13.7109375" customWidth="1"/>
    <col min="6" max="6" width="12.5703125" customWidth="1"/>
    <col min="7" max="7" width="14.28515625" customWidth="1"/>
    <col min="8" max="8" width="9.140625" customWidth="1"/>
    <col min="9" max="9" width="10" customWidth="1"/>
    <col min="10" max="10" width="14.140625" customWidth="1"/>
    <col min="11" max="11" width="8.140625" customWidth="1"/>
    <col min="15" max="15" width="11.42578125" customWidth="1"/>
    <col min="23" max="23" width="12.28515625" customWidth="1"/>
    <col min="24" max="24" width="14.28515625" customWidth="1"/>
  </cols>
  <sheetData>
    <row r="1" spans="1:11" ht="18.75" x14ac:dyDescent="0.3">
      <c r="C1" s="937" t="s">
        <v>0</v>
      </c>
      <c r="D1" s="937"/>
      <c r="E1" s="937"/>
      <c r="F1" s="937"/>
      <c r="G1" s="937"/>
    </row>
    <row r="2" spans="1:11" x14ac:dyDescent="0.25">
      <c r="C2" s="938" t="s">
        <v>76</v>
      </c>
      <c r="D2" s="938"/>
      <c r="E2" s="938"/>
      <c r="F2" s="938"/>
      <c r="G2" s="938"/>
    </row>
    <row r="4" spans="1:11" x14ac:dyDescent="0.25">
      <c r="A4" s="1" t="s">
        <v>1</v>
      </c>
      <c r="B4" s="943" t="str">
        <f>Customer</f>
        <v>ULTRATECH TOOL&amp; DESIGN, INC.</v>
      </c>
      <c r="C4" s="944"/>
      <c r="D4" s="945"/>
    </row>
    <row r="5" spans="1:11" x14ac:dyDescent="0.25">
      <c r="A5" s="1" t="s">
        <v>2</v>
      </c>
      <c r="B5" s="939">
        <f>CalcDate</f>
        <v>0</v>
      </c>
      <c r="C5" s="940"/>
      <c r="D5" s="941"/>
      <c r="E5" s="15"/>
    </row>
    <row r="6" spans="1:11" x14ac:dyDescent="0.25">
      <c r="A6" s="1" t="s">
        <v>3</v>
      </c>
      <c r="B6" s="942">
        <f>Reference</f>
        <v>0</v>
      </c>
      <c r="C6" s="942"/>
      <c r="D6" s="942"/>
      <c r="E6" s="15"/>
    </row>
    <row r="7" spans="1:11" ht="16.149999999999999" customHeight="1" x14ac:dyDescent="0.25">
      <c r="E7" s="25"/>
      <c r="F7" s="25"/>
      <c r="G7" s="25"/>
    </row>
    <row r="8" spans="1:11" ht="14.45" customHeight="1" x14ac:dyDescent="0.25">
      <c r="A8" s="747" t="s">
        <v>49</v>
      </c>
      <c r="B8" s="716" t="s">
        <v>43</v>
      </c>
      <c r="E8" s="932" t="s">
        <v>65</v>
      </c>
      <c r="F8" s="932"/>
      <c r="G8" s="25"/>
    </row>
    <row r="9" spans="1:11" ht="14.45" customHeight="1" x14ac:dyDescent="0.25">
      <c r="A9" s="747" t="s">
        <v>1430</v>
      </c>
      <c r="B9" s="716">
        <v>42</v>
      </c>
      <c r="E9" s="746"/>
      <c r="F9" s="746"/>
      <c r="G9" s="25"/>
    </row>
    <row r="10" spans="1:11" ht="14.45" customHeight="1" x14ac:dyDescent="0.25">
      <c r="A10" s="747" t="s">
        <v>133</v>
      </c>
      <c r="B10" s="716">
        <v>27</v>
      </c>
      <c r="E10" s="746"/>
      <c r="F10" s="746"/>
      <c r="G10" s="25"/>
    </row>
    <row r="11" spans="1:11" x14ac:dyDescent="0.25">
      <c r="A11" s="749" t="s">
        <v>686</v>
      </c>
      <c r="B11" s="447" t="str">
        <f>Material_1</f>
        <v>HS Steel</v>
      </c>
    </row>
    <row r="12" spans="1:11" x14ac:dyDescent="0.25">
      <c r="A12" s="749" t="s">
        <v>7</v>
      </c>
      <c r="B12" s="438">
        <f>CoilWidth_1</f>
        <v>18</v>
      </c>
      <c r="C12" s="3" t="s">
        <v>4</v>
      </c>
      <c r="E12" s="749" t="s">
        <v>18</v>
      </c>
      <c r="F12" s="742">
        <f>B58</f>
        <v>19139.914480954139</v>
      </c>
      <c r="G12" s="3" t="s">
        <v>29</v>
      </c>
      <c r="H12" s="922" t="s">
        <v>59</v>
      </c>
      <c r="I12" s="922"/>
      <c r="J12" s="6">
        <v>4</v>
      </c>
      <c r="K12" s="3" t="s">
        <v>4</v>
      </c>
    </row>
    <row r="13" spans="1:11" x14ac:dyDescent="0.25">
      <c r="A13" s="749" t="s">
        <v>6</v>
      </c>
      <c r="B13" s="439">
        <f>Thickness_1</f>
        <v>0.25</v>
      </c>
      <c r="C13" s="3" t="s">
        <v>4</v>
      </c>
      <c r="E13" s="749" t="s">
        <v>8</v>
      </c>
      <c r="F13" s="230">
        <f>IF(SQRT(((cw_weight*4)/(VLOOKUP(material,LookupMaterial,4,FALSE)*PI()*width))+(coil_ID^2))&gt;72, 72, SQRT(((cw_weight*4)/(VLOOKUP(material,LookupMaterial,4,FALSE)*PI()*width))+(coil_ID^2)))</f>
        <v>72</v>
      </c>
      <c r="G13" s="3" t="s">
        <v>4</v>
      </c>
      <c r="H13" s="922" t="s">
        <v>58</v>
      </c>
      <c r="I13" s="922"/>
      <c r="J13" s="230">
        <f>VLOOKUP(J19,LookupBrakeType,2,FALSE)</f>
        <v>5</v>
      </c>
      <c r="K13" s="3" t="s">
        <v>4</v>
      </c>
    </row>
    <row r="14" spans="1:11" x14ac:dyDescent="0.25">
      <c r="A14" s="749" t="s">
        <v>57</v>
      </c>
      <c r="B14" s="440">
        <f>YieldStrength_1</f>
        <v>100000</v>
      </c>
      <c r="C14" s="3" t="s">
        <v>11</v>
      </c>
      <c r="E14" s="750" t="s">
        <v>36</v>
      </c>
      <c r="F14" s="743">
        <f>IF(LEFT(hydthd, 2)="22", 22.6, IF(LEFT(hydthd,2)="38", 38, IF(LEFT(hydthd,2)="60", 60, IF(LEFT(hydthd,2)="60", 60,))))</f>
        <v>60</v>
      </c>
      <c r="G14" s="3" t="s">
        <v>10</v>
      </c>
      <c r="H14" s="922" t="s">
        <v>60</v>
      </c>
      <c r="I14" s="922"/>
      <c r="J14" s="224">
        <v>0.6</v>
      </c>
    </row>
    <row r="15" spans="1:11" x14ac:dyDescent="0.25">
      <c r="A15" s="749" t="s">
        <v>55</v>
      </c>
      <c r="B15" s="717">
        <v>80</v>
      </c>
      <c r="C15" s="3" t="s">
        <v>11</v>
      </c>
      <c r="E15" s="749" t="s">
        <v>39</v>
      </c>
      <c r="F15" s="229">
        <f>(yield/800)</f>
        <v>125</v>
      </c>
      <c r="G15" s="3" t="s">
        <v>11</v>
      </c>
    </row>
    <row r="16" spans="1:11" ht="17.25" x14ac:dyDescent="0.25">
      <c r="A16" s="749" t="s">
        <v>56</v>
      </c>
      <c r="B16" s="718">
        <v>1</v>
      </c>
      <c r="C16" s="3" t="s">
        <v>28</v>
      </c>
      <c r="E16" s="749" t="s">
        <v>39</v>
      </c>
      <c r="F16" s="229">
        <f>thk*width*(yield/800)</f>
        <v>562.5</v>
      </c>
      <c r="G16" s="3" t="s">
        <v>40</v>
      </c>
    </row>
    <row r="17" spans="1:12" x14ac:dyDescent="0.25">
      <c r="E17" s="17"/>
      <c r="F17" s="3"/>
    </row>
    <row r="18" spans="1:12" x14ac:dyDescent="0.25">
      <c r="A18" s="923" t="s">
        <v>901</v>
      </c>
      <c r="B18" s="923"/>
      <c r="C18" s="3"/>
      <c r="D18" s="923" t="s">
        <v>74</v>
      </c>
      <c r="E18" s="923"/>
      <c r="F18" s="923"/>
      <c r="G18" s="690" t="s">
        <v>1377</v>
      </c>
      <c r="H18" s="923" t="s">
        <v>54</v>
      </c>
      <c r="I18" s="923"/>
      <c r="J18" s="923"/>
    </row>
    <row r="19" spans="1:12" x14ac:dyDescent="0.25">
      <c r="A19" s="748" t="s">
        <v>50</v>
      </c>
      <c r="B19" s="752" t="s">
        <v>1301</v>
      </c>
      <c r="C19" s="3"/>
      <c r="D19" s="935" t="s">
        <v>67</v>
      </c>
      <c r="E19" s="936"/>
      <c r="F19" s="752" t="s">
        <v>1322</v>
      </c>
      <c r="G19" s="751" t="s">
        <v>1373</v>
      </c>
      <c r="H19" s="931" t="s">
        <v>37</v>
      </c>
      <c r="I19" s="931"/>
      <c r="J19" s="929" t="s">
        <v>35</v>
      </c>
      <c r="K19" s="930"/>
    </row>
    <row r="20" spans="1:12" x14ac:dyDescent="0.25">
      <c r="A20" s="748" t="s">
        <v>5</v>
      </c>
      <c r="B20" s="719" t="s">
        <v>1364</v>
      </c>
      <c r="D20" s="933" t="s">
        <v>69</v>
      </c>
      <c r="E20" s="934"/>
      <c r="F20" s="448">
        <f>IF( IFERROR(SEARCH("psi Air", _xlfn.XLOOKUP(HolddownMatrixKey, tblHDMatrix[HolddownMatrixKey], tblHDMatrix[PressureLabel], "", 0, 1)), 0) &gt; 0, MIN(air_press, _xlfn.XLOOKUP(HolddownMatrixKey, tblHDMatrix[HolddownMatrixKey], tblHDMatrix[MaxPSI], "", 0, 1)), (_xlfn.XLOOKUP(HolddownMatrixKey, tblHDMatrix[HolddownMatrixKey], tblHDMatrix[PSI], 0, 0, 1)))</f>
        <v>750</v>
      </c>
      <c r="G20" s="704" t="str">
        <f>_xlfn.XLOOKUP(HolddownMatrixKey, tblHDMatrix[HolddownMatrixKey], tblHDMatrix[PressureLabel], "", 0, 1)</f>
        <v>psi Hydraulic</v>
      </c>
      <c r="H20" s="931" t="s">
        <v>38</v>
      </c>
      <c r="I20" s="931"/>
      <c r="J20" s="693">
        <v>1</v>
      </c>
    </row>
    <row r="21" spans="1:12" x14ac:dyDescent="0.25">
      <c r="K21" s="18"/>
    </row>
    <row r="22" spans="1:12" ht="14.45" customHeight="1" x14ac:dyDescent="0.25">
      <c r="A22" s="749" t="s">
        <v>963</v>
      </c>
      <c r="B22" s="530">
        <f>IF(VLOOKUP(TypeOfLine, LookupTypeOfLine, 3, FALSE)="PULLOFF", _xlfn.XLOOKUP(DriveKey, tblDrives[DriveKey], tblDrives[Torque], 0, 0, 1), 'Reel Drive'!TQEMPTY)</f>
        <v>25920</v>
      </c>
      <c r="C22" s="19" t="s">
        <v>41</v>
      </c>
      <c r="D22" s="926" t="s">
        <v>66</v>
      </c>
      <c r="E22" s="926"/>
      <c r="F22" s="530">
        <f>IF(M&lt;My,M/(B57*(coil_ID/2)), IF(M&gt;My, ((width*(thk^2)/4)*yield*((1-((1/3)*((y/(thk/2))^2)))))/(B57*(coil_ID/2))))</f>
        <v>5482.31272294887</v>
      </c>
      <c r="G22" s="20" t="s">
        <v>40</v>
      </c>
      <c r="H22" s="924" t="s">
        <v>53</v>
      </c>
      <c r="I22" s="924"/>
      <c r="J22" s="530">
        <f>(3*decel*cw_weight*((coil_od^2)+(coil_ID^2)))/(386*coil_od)+tension_tor</f>
        <v>31786.839643960266</v>
      </c>
      <c r="K22" s="20" t="s">
        <v>41</v>
      </c>
    </row>
    <row r="23" spans="1:12" x14ac:dyDescent="0.25">
      <c r="A23" s="749" t="s">
        <v>78</v>
      </c>
      <c r="B23" s="530">
        <f>tension*coil_od/2</f>
        <v>20250</v>
      </c>
      <c r="C23" s="19" t="s">
        <v>41</v>
      </c>
      <c r="D23" s="926" t="s">
        <v>68</v>
      </c>
      <c r="E23" s="926"/>
      <c r="F23" s="530">
        <f>_xlfn.XLOOKUP(HolddownMatrixKey, tblHDMatrix[HolddownMatrixKey], tblHDMatrix[ForceFactor], 0, 0, 1)*holddown_pressure</f>
        <v>7881.9749999999995</v>
      </c>
      <c r="G23" s="3" t="s">
        <v>40</v>
      </c>
      <c r="H23" s="926" t="str">
        <f>J19</f>
        <v>Failsafe - Double Stage</v>
      </c>
      <c r="I23" s="926"/>
      <c r="J23" s="708">
        <f>VLOOKUP($J$19,LookupPressRequired,3,FALSE)/brake_qty</f>
        <v>57.358646877615634</v>
      </c>
      <c r="K23" s="927" t="s">
        <v>77</v>
      </c>
      <c r="L23" s="928"/>
    </row>
    <row r="24" spans="1:12" x14ac:dyDescent="0.25">
      <c r="B24" s="21"/>
      <c r="D24" s="920" t="s">
        <v>1418</v>
      </c>
      <c r="E24" s="921"/>
      <c r="F24" s="447">
        <f>_xlfn.XLOOKUP(HolddownMatrixKey, tblHDMatrix[HolddownMatrixKey], tblHDMatrix[MinWidth], 0, 0, 1)</f>
        <v>16.625</v>
      </c>
      <c r="H24" s="920" t="s">
        <v>61</v>
      </c>
      <c r="I24" s="921"/>
      <c r="J24" s="707">
        <f>VLOOKUP($J$19,LookupPressRequired,4,FALSE)*friction*no_brakepads*brake_dist*brake_qty</f>
        <v>34344</v>
      </c>
      <c r="K24" s="20" t="s">
        <v>41</v>
      </c>
    </row>
    <row r="25" spans="1:12" x14ac:dyDescent="0.25">
      <c r="B25" s="21"/>
      <c r="H25" s="705"/>
      <c r="I25" s="705"/>
      <c r="J25" s="706"/>
      <c r="K25" s="20"/>
    </row>
    <row r="26" spans="1:12" s="737" customFormat="1" ht="12.75" thickBot="1" x14ac:dyDescent="0.25">
      <c r="B26" s="736" t="s">
        <v>53</v>
      </c>
      <c r="C26" s="705" t="s">
        <v>1424</v>
      </c>
      <c r="E26" s="705" t="s">
        <v>1421</v>
      </c>
      <c r="F26" s="737" t="s">
        <v>1422</v>
      </c>
      <c r="H26" s="705"/>
      <c r="I26" s="705" t="s">
        <v>1423</v>
      </c>
      <c r="J26" s="738" t="s">
        <v>53</v>
      </c>
      <c r="K26" s="739"/>
    </row>
    <row r="27" spans="1:12" x14ac:dyDescent="0.25">
      <c r="A27" s="722" t="s">
        <v>1071</v>
      </c>
      <c r="B27" s="723">
        <f>'TD,DB,HD (1)'!tension_tor</f>
        <v>20250</v>
      </c>
      <c r="C27" s="776" t="str">
        <f>IF(VLOOKUP(TypeOfLine, LookupTypeOfLine, 3, FALSE)="PULLOFF", IF(AND($B$23&lt;$B$22,$F$22&lt;$F$23,OR($F$24&lt;$B$12,MinHoldDownConfirmed),$J$23&lt;$B$15, OR($J$24&gt;$J$22,$J$24=0)),"OK", "NOT OK"), "USE MOTORIZED")</f>
        <v>OK</v>
      </c>
      <c r="D27" s="724"/>
      <c r="E27" s="740">
        <f>'TD,DB,HD (1)'!$B$12</f>
        <v>18</v>
      </c>
      <c r="F27" s="723">
        <f>'TD,DB,HD (1)'!$F$22</f>
        <v>5482.31272294887</v>
      </c>
      <c r="G27" s="724"/>
      <c r="H27" s="725"/>
      <c r="I27" s="726">
        <f>'TD,DB,HD (1)'!$J$23</f>
        <v>57.358646877615634</v>
      </c>
      <c r="J27" s="727">
        <f>'TD,DB,HD (1)'!$J$22</f>
        <v>31786.839643960266</v>
      </c>
    </row>
    <row r="28" spans="1:12" x14ac:dyDescent="0.25">
      <c r="A28" s="728" t="s">
        <v>1072</v>
      </c>
      <c r="B28" s="707">
        <f>'TD,DB,HD (2)'!tension_tor</f>
        <v>21600</v>
      </c>
      <c r="C28" s="775" t="str">
        <f>_xlfn.IFNA('TD,DB,HD (2)'!$B$23, "OK")</f>
        <v>OK</v>
      </c>
      <c r="D28" s="50"/>
      <c r="E28" s="447">
        <f>'TD,DB,HD (2)'!$B$10</f>
        <v>16</v>
      </c>
      <c r="F28" s="530">
        <f>'TD,DB,HD (2)'!$F$20</f>
        <v>7073.1668648434406</v>
      </c>
      <c r="G28" s="5"/>
      <c r="H28" s="5"/>
      <c r="I28" s="708">
        <f>'TD,DB,HD (2)'!$J$21</f>
        <v>57.481584017413702</v>
      </c>
      <c r="J28" s="729">
        <f>'TD,DB,HD (2)'!$J$20</f>
        <v>31854.968572409125</v>
      </c>
    </row>
    <row r="29" spans="1:12" x14ac:dyDescent="0.25">
      <c r="A29" s="728" t="s">
        <v>1106</v>
      </c>
      <c r="B29" s="707">
        <f>'TD,DB,HD (3)'!tension_tor</f>
        <v>1913.1084491128861</v>
      </c>
      <c r="C29" s="775" t="str">
        <f>_xlfn.IFNA('TD,DB,HD (3)'!$B$23, "OK")</f>
        <v>OK</v>
      </c>
      <c r="D29" s="55"/>
      <c r="E29" s="447">
        <f>'TD,DB,HD (3)'!$B$10</f>
        <v>30</v>
      </c>
      <c r="F29" s="530">
        <f>'TD,DB,HD (3)'!$F$20</f>
        <v>62.148483947681349</v>
      </c>
      <c r="G29" s="5"/>
      <c r="H29" s="5"/>
      <c r="I29" s="708">
        <f>'TD,DB,HD (3)'!$J$21</f>
        <v>21.730162545071035</v>
      </c>
      <c r="J29" s="729">
        <f>'TD,DB,HD (3)'!$J$20</f>
        <v>12042.355073876839</v>
      </c>
    </row>
    <row r="30" spans="1:12" ht="15.75" thickBot="1" x14ac:dyDescent="0.3">
      <c r="A30" s="730" t="s">
        <v>1280</v>
      </c>
      <c r="B30" s="731">
        <f>'TD,DB,HD (4)'!tension_tor</f>
        <v>2382.4586181349905</v>
      </c>
      <c r="C30" s="777" t="str">
        <f>_xlfn.IFNA('TD,DB,HD (4)'!$B$23, "OK")</f>
        <v>OK</v>
      </c>
      <c r="D30" s="732"/>
      <c r="E30" s="741">
        <f>'TD,DB,HD (4)'!$B$10</f>
        <v>42</v>
      </c>
      <c r="F30" s="735">
        <f>'TD,DB,HD (4)'!$F$20</f>
        <v>217.81070154577884</v>
      </c>
      <c r="G30" s="732"/>
      <c r="H30" s="732"/>
      <c r="I30" s="733">
        <f>'TD,DB,HD (4)'!$J$21</f>
        <v>20.667124711090679</v>
      </c>
      <c r="J30" s="734">
        <f>'TD,DB,HD (4)'!$J$20</f>
        <v>11453.244015586108</v>
      </c>
    </row>
    <row r="31" spans="1:12" ht="15.75" thickBot="1" x14ac:dyDescent="0.3">
      <c r="A31" s="721" t="s">
        <v>1390</v>
      </c>
      <c r="B31" s="4"/>
      <c r="C31" s="778" t="str">
        <f>IF(OR(AND(_xlfn.IFNA($C$27, "NOT OK")="OK", _xlfn.IFNA($C$28, "OK")="OK", _xlfn.IFNA($C$29,"OK")="OK", _xlfn.IFNA($C$30, "OK")="OK"),AND(_xlfn.IFNA($C$27, "NOT OK")="USE MOTORIZED",ReelDriveOK="OK")), "OK", "NOT OK")</f>
        <v>OK</v>
      </c>
      <c r="E31" s="946" t="b">
        <v>1</v>
      </c>
      <c r="F31" s="947"/>
    </row>
    <row r="32" spans="1:12" hidden="1" x14ac:dyDescent="0.25">
      <c r="B32" s="4"/>
      <c r="C32" s="4"/>
      <c r="F32" s="13"/>
    </row>
    <row r="33" spans="1:23" hidden="1" x14ac:dyDescent="0.25">
      <c r="B33" s="4"/>
      <c r="C33" s="4"/>
    </row>
    <row r="34" spans="1:23" hidden="1" x14ac:dyDescent="0.25">
      <c r="B34" s="12"/>
      <c r="C34" s="12"/>
    </row>
    <row r="35" spans="1:23" hidden="1" x14ac:dyDescent="0.25">
      <c r="B35" s="12"/>
      <c r="C35" s="12"/>
    </row>
    <row r="36" spans="1:23" hidden="1" x14ac:dyDescent="0.25">
      <c r="B36">
        <f>IF(AND(air_clutch="NO",hydthd="38 cu in (D-13374)"),22151,IF(AND(air_clutch="NO",hydthd="60 cu in (D-13374)"),37883,IF(AND(air_clutch="NO",hydthd="22 cu in (D-12689)"),12627,IF(AND(air_clutch="YES",hydthd="22 cu in (D-12689)"),10260,IF(AND(air_clutch="YES",hydthd="38 cu in (D-13374)"),15156,IF(AND(air_clutch="YES",hydthd="60 cu in (D-13374)"),25920,IF(AND(air_clutch="YES",hydthd="60 cu in (D-13382)"),54720,0)))))))</f>
        <v>25920</v>
      </c>
      <c r="D36" t="e">
        <f>VLOOKUP(F19,LookupHolddown,2,FALSE)*holddown_pressure</f>
        <v>#N/A</v>
      </c>
    </row>
    <row r="37" spans="1:23" hidden="1" x14ac:dyDescent="0.25"/>
    <row r="39" spans="1:23" x14ac:dyDescent="0.25">
      <c r="A39" s="531"/>
    </row>
    <row r="45" spans="1:23" hidden="1" x14ac:dyDescent="0.25"/>
    <row r="46" spans="1:23" hidden="1" x14ac:dyDescent="0.25"/>
    <row r="47" spans="1:23" hidden="1" x14ac:dyDescent="0.25">
      <c r="W47" s="8"/>
    </row>
    <row r="48" spans="1:23" hidden="1" x14ac:dyDescent="0.25">
      <c r="A48" s="2">
        <v>1</v>
      </c>
      <c r="B48" s="2">
        <v>2</v>
      </c>
      <c r="C48" s="2">
        <v>3</v>
      </c>
      <c r="D48" s="2">
        <v>4</v>
      </c>
      <c r="E48" s="2">
        <v>5</v>
      </c>
      <c r="F48" s="2">
        <v>6</v>
      </c>
      <c r="G48" s="2">
        <v>7</v>
      </c>
      <c r="H48" s="2"/>
      <c r="I48" s="2"/>
      <c r="J48" s="2"/>
      <c r="K48" s="2"/>
      <c r="P48" s="2"/>
    </row>
    <row r="49" spans="1:22" hidden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864" t="s">
        <v>21</v>
      </c>
      <c r="M49" s="864"/>
      <c r="N49" s="864"/>
      <c r="O49" s="2">
        <f>VLOOKUP(material,LookupMaterial,3,FALSE)</f>
        <v>29000000</v>
      </c>
      <c r="P49" s="2"/>
    </row>
    <row r="50" spans="1:22" hidden="1" x14ac:dyDescent="0.25">
      <c r="A50" s="2" t="s">
        <v>15</v>
      </c>
      <c r="B50" s="2" t="s">
        <v>12</v>
      </c>
      <c r="C50" s="2" t="s">
        <v>13</v>
      </c>
      <c r="D50" s="2" t="s">
        <v>19</v>
      </c>
      <c r="E50" s="2" t="s">
        <v>20</v>
      </c>
      <c r="F50" s="2" t="s">
        <v>16</v>
      </c>
      <c r="G50" s="2" t="s">
        <v>17</v>
      </c>
      <c r="H50" s="2"/>
      <c r="I50" s="2"/>
      <c r="J50" s="2"/>
      <c r="K50" s="2"/>
      <c r="L50" s="2"/>
      <c r="M50" s="2"/>
      <c r="N50" s="2"/>
      <c r="O50" s="2"/>
      <c r="P50" s="2"/>
    </row>
    <row r="51" spans="1:22" hidden="1" x14ac:dyDescent="0.25">
      <c r="A51" s="7">
        <v>22.6</v>
      </c>
      <c r="B51" s="7">
        <v>10</v>
      </c>
      <c r="C51" s="7">
        <v>2.9089999999999998</v>
      </c>
      <c r="D51" s="7">
        <v>4.75</v>
      </c>
      <c r="E51" s="7" t="s">
        <v>14</v>
      </c>
      <c r="F51" s="4">
        <v>2.8980000000000001</v>
      </c>
      <c r="G51" s="4">
        <v>3.2360000000000002</v>
      </c>
      <c r="H51" s="2"/>
      <c r="I51" s="2"/>
      <c r="J51" s="2"/>
      <c r="K51" s="2"/>
      <c r="L51" s="925" t="s">
        <v>22</v>
      </c>
      <c r="M51" s="925"/>
      <c r="N51" s="925"/>
      <c r="O51" s="2">
        <f>(mod*width*(thk^3))/(12*(coil_ID/2))</f>
        <v>67968.75</v>
      </c>
      <c r="P51" s="2"/>
    </row>
    <row r="52" spans="1:22" hidden="1" x14ac:dyDescent="0.25">
      <c r="A52" s="7">
        <v>40.6</v>
      </c>
      <c r="B52" s="7">
        <v>10</v>
      </c>
      <c r="C52" s="7">
        <v>2.9</v>
      </c>
      <c r="D52" s="7">
        <v>3.42</v>
      </c>
      <c r="E52" s="7" t="s">
        <v>14</v>
      </c>
      <c r="F52" s="4">
        <v>2.8980000000000001</v>
      </c>
      <c r="G52" s="4">
        <v>3.2360000000000002</v>
      </c>
      <c r="H52" s="2"/>
      <c r="I52" s="2"/>
      <c r="J52" s="2"/>
      <c r="K52" s="2"/>
      <c r="L52" s="925" t="s">
        <v>23</v>
      </c>
      <c r="M52" s="925"/>
      <c r="N52" s="925"/>
      <c r="O52" s="2">
        <f>(width*(thk^2)*yield)/6</f>
        <v>18750</v>
      </c>
      <c r="P52" s="2"/>
    </row>
    <row r="53" spans="1:22" hidden="1" x14ac:dyDescent="0.25">
      <c r="A53" s="7">
        <v>57.4</v>
      </c>
      <c r="B53" s="7">
        <v>14.75</v>
      </c>
      <c r="C53" s="7">
        <v>3.8</v>
      </c>
      <c r="D53" s="7">
        <v>6.9089999999999998</v>
      </c>
      <c r="E53" s="7">
        <v>2.9</v>
      </c>
      <c r="F53" s="4">
        <v>3.2360000000000002</v>
      </c>
      <c r="G53" s="4">
        <v>4.4370000000000003</v>
      </c>
      <c r="H53" s="2"/>
      <c r="I53" s="2"/>
      <c r="J53" s="2"/>
      <c r="K53" s="30"/>
      <c r="L53" s="2"/>
      <c r="M53" s="2"/>
      <c r="N53" s="2"/>
      <c r="O53" s="2"/>
      <c r="P53" s="2"/>
    </row>
    <row r="54" spans="1:22" hidden="1" x14ac:dyDescent="0.25">
      <c r="A54" s="7">
        <v>60</v>
      </c>
      <c r="B54" s="7">
        <v>11.85</v>
      </c>
      <c r="C54" s="7">
        <v>4.2300000000000004</v>
      </c>
      <c r="D54" s="7">
        <v>6.9089999999999998</v>
      </c>
      <c r="E54" s="7" t="s">
        <v>14</v>
      </c>
      <c r="F54" s="4">
        <v>2.8980000000000001</v>
      </c>
      <c r="G54" s="4">
        <v>3.2360000000000002</v>
      </c>
      <c r="H54" s="2"/>
      <c r="I54" s="2"/>
      <c r="J54" s="2"/>
      <c r="K54" s="30"/>
      <c r="L54" s="2"/>
      <c r="O54" s="2"/>
      <c r="P54" s="2"/>
    </row>
    <row r="55" spans="1:22" hidden="1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30"/>
      <c r="L55" s="2"/>
      <c r="M55" s="541" t="s">
        <v>30</v>
      </c>
      <c r="N55" s="2">
        <f>(thk*(coil_ID/2))/(2*((thk*mod)/(2*yield)))</f>
        <v>3.4482758620689655E-2</v>
      </c>
      <c r="O55" s="2"/>
      <c r="P55" s="2"/>
    </row>
    <row r="56" spans="1:22" hidden="1" x14ac:dyDescent="0.25">
      <c r="A56" s="5" t="s">
        <v>9</v>
      </c>
      <c r="B56" s="9">
        <f>CoilID_1</f>
        <v>20</v>
      </c>
      <c r="C56" s="3" t="s">
        <v>4</v>
      </c>
      <c r="D56" s="948" t="s">
        <v>25</v>
      </c>
      <c r="E56" s="948"/>
      <c r="F56" s="10">
        <v>12</v>
      </c>
      <c r="G56" s="3" t="s">
        <v>4</v>
      </c>
      <c r="H56" s="2"/>
      <c r="I56" s="2"/>
      <c r="J56" s="14" t="s">
        <v>31</v>
      </c>
      <c r="K56" s="28">
        <f>tension_tor*(coil_od/2)</f>
        <v>729000</v>
      </c>
      <c r="L56" s="2"/>
      <c r="M56" s="2"/>
      <c r="N56" s="2"/>
      <c r="O56" s="2"/>
      <c r="P56" s="2"/>
    </row>
    <row r="57" spans="1:22" hidden="1" x14ac:dyDescent="0.25">
      <c r="A57" s="5" t="s">
        <v>62</v>
      </c>
      <c r="B57" s="9">
        <v>0.5</v>
      </c>
      <c r="D57" s="948" t="s">
        <v>27</v>
      </c>
      <c r="E57" s="948"/>
      <c r="F57" s="6">
        <v>1</v>
      </c>
      <c r="G57" s="3" t="s">
        <v>4</v>
      </c>
      <c r="H57" s="2"/>
      <c r="I57" s="2"/>
      <c r="J57" s="2"/>
      <c r="K57" s="30"/>
      <c r="L57" s="2"/>
      <c r="M57" s="2"/>
      <c r="N57" s="2"/>
      <c r="O57" s="2"/>
      <c r="P57" s="2"/>
      <c r="R57">
        <f>(friction*(PI()*((brake_paddia/2)^2)*air_press)*(0.965*brake_dist))</f>
        <v>6984.8914422854023</v>
      </c>
      <c r="U57" s="919"/>
      <c r="V57" s="919"/>
    </row>
    <row r="58" spans="1:22" hidden="1" x14ac:dyDescent="0.25">
      <c r="A58" t="s">
        <v>18</v>
      </c>
      <c r="B58">
        <f>IF((((72^2)-(coil_ID^2))/4*PI()*width*(VLOOKUP(material,LookupMaterial,4,FALSE)))&lt;VLOOKUP(reel_model, LookupReels,2,FALSE), (((72^2)-(coil_ID^2))/4*PI()*width*(VLOOKUP(material,LookupMaterial,4,FALSE))), VLOOKUP(reel_model, LookupReels,2,FALSE))</f>
        <v>19139.914480954139</v>
      </c>
      <c r="D58" s="948" t="s">
        <v>26</v>
      </c>
      <c r="E58" s="948"/>
      <c r="F58" s="11">
        <v>2</v>
      </c>
      <c r="G58" s="3"/>
      <c r="K58" s="29"/>
      <c r="U58" s="23"/>
      <c r="V58" s="23"/>
    </row>
    <row r="59" spans="1:22" hidden="1" x14ac:dyDescent="0.25">
      <c r="K59" s="29"/>
      <c r="P59" s="29"/>
      <c r="U59" s="24"/>
      <c r="V59" s="24"/>
    </row>
    <row r="60" spans="1:22" hidden="1" x14ac:dyDescent="0.25">
      <c r="K60" s="29"/>
      <c r="P60" s="29"/>
    </row>
    <row r="61" spans="1:22" hidden="1" x14ac:dyDescent="0.25">
      <c r="D61" s="565" t="s">
        <v>24</v>
      </c>
      <c r="E61" s="5" t="s">
        <v>995</v>
      </c>
      <c r="K61" s="29"/>
      <c r="P61" s="29"/>
    </row>
    <row r="62" spans="1:22" hidden="1" x14ac:dyDescent="0.25">
      <c r="B62" s="560" t="s">
        <v>32</v>
      </c>
      <c r="C62" s="561"/>
      <c r="D62" s="562">
        <f>(4*$J$22)/(PI()*friction*brake_dist*no_brakepads*cyl_bore^2)</f>
        <v>112.42294788012664</v>
      </c>
      <c r="E62" s="563">
        <v>0</v>
      </c>
      <c r="J62" s="566" t="s">
        <v>996</v>
      </c>
      <c r="K62" s="29" t="s">
        <v>1337</v>
      </c>
      <c r="P62" s="29"/>
    </row>
    <row r="63" spans="1:22" hidden="1" x14ac:dyDescent="0.25">
      <c r="B63" s="560" t="s">
        <v>33</v>
      </c>
      <c r="C63" s="561"/>
      <c r="D63" s="562">
        <f>(4*$J$22)/(PI()*friction*brake_dist*no_brakepads*(2*cyl_bore^2-cyl_rod^2))</f>
        <v>57.358646877615634</v>
      </c>
      <c r="E63" s="563">
        <v>0</v>
      </c>
      <c r="P63" s="29"/>
    </row>
    <row r="64" spans="1:22" hidden="1" x14ac:dyDescent="0.25">
      <c r="B64" s="560" t="s">
        <v>34</v>
      </c>
      <c r="C64" s="561"/>
      <c r="D64" s="562">
        <f>(4*$J$22)/(PI()*friction*brake_dist*no_brakepads*(3*cyl_bore^2-2*cyl_rod^2))</f>
        <v>38.501009547988581</v>
      </c>
      <c r="E64" s="563">
        <v>0</v>
      </c>
    </row>
    <row r="65" spans="2:5" hidden="1" x14ac:dyDescent="0.25">
      <c r="B65" s="560" t="s">
        <v>959</v>
      </c>
      <c r="C65" s="564"/>
      <c r="D65" s="562">
        <f>(4*$J$22)/(PI()*friction*brake_dist*no_brakepads*cyl_bore^2)</f>
        <v>112.42294788012664</v>
      </c>
      <c r="E65" s="563">
        <v>1000</v>
      </c>
    </row>
    <row r="66" spans="2:5" hidden="1" x14ac:dyDescent="0.25">
      <c r="B66" s="560" t="s">
        <v>35</v>
      </c>
      <c r="C66" s="564"/>
      <c r="D66" s="562">
        <f>(4*$J$22)/(PI()*friction*brake_dist*no_brakepads*(2*cyl_bore^2-cyl_rod^2))</f>
        <v>57.358646877615634</v>
      </c>
      <c r="E66" s="563">
        <v>2385</v>
      </c>
    </row>
    <row r="67" spans="2:5" hidden="1" x14ac:dyDescent="0.25"/>
  </sheetData>
  <sheetProtection algorithmName="SHA-512" hashValue="52huxeXJcEwL1PrYzWNGXIGT4mhL197qvO63DnQQ1+nkymiEN/5RLRi4pDdwligr2vRZFSspvrXVUOZxjjGScA==" saltValue="Tp/Qz3MoPJguQ34EsHIXfA==" spinCount="100000" sheet="1" objects="1" scenarios="1"/>
  <mergeCells count="32">
    <mergeCell ref="E31:F31"/>
    <mergeCell ref="D58:E58"/>
    <mergeCell ref="D57:E57"/>
    <mergeCell ref="D56:E56"/>
    <mergeCell ref="D22:E22"/>
    <mergeCell ref="D24:E24"/>
    <mergeCell ref="C1:G1"/>
    <mergeCell ref="C2:G2"/>
    <mergeCell ref="B5:D5"/>
    <mergeCell ref="B6:D6"/>
    <mergeCell ref="B4:D4"/>
    <mergeCell ref="A18:B18"/>
    <mergeCell ref="D18:F18"/>
    <mergeCell ref="E8:F8"/>
    <mergeCell ref="D23:E23"/>
    <mergeCell ref="D20:E20"/>
    <mergeCell ref="D19:E19"/>
    <mergeCell ref="U57:V57"/>
    <mergeCell ref="H24:I24"/>
    <mergeCell ref="H12:I12"/>
    <mergeCell ref="H13:I13"/>
    <mergeCell ref="H14:I14"/>
    <mergeCell ref="H18:J18"/>
    <mergeCell ref="H22:I22"/>
    <mergeCell ref="L51:N51"/>
    <mergeCell ref="L52:N52"/>
    <mergeCell ref="L49:N49"/>
    <mergeCell ref="H23:I23"/>
    <mergeCell ref="K23:L23"/>
    <mergeCell ref="J19:K19"/>
    <mergeCell ref="H19:I19"/>
    <mergeCell ref="H20:I20"/>
  </mergeCells>
  <conditionalFormatting sqref="B34:B35">
    <cfRule type="cellIs" dxfId="340" priority="33" stopIfTrue="1" operator="lessThan">
      <formula>$C$35</formula>
    </cfRule>
    <cfRule type="cellIs" dxfId="339" priority="34" stopIfTrue="1" operator="greaterThan">
      <formula>$C$35</formula>
    </cfRule>
  </conditionalFormatting>
  <conditionalFormatting sqref="C34">
    <cfRule type="cellIs" dxfId="338" priority="31" stopIfTrue="1" operator="greaterThan">
      <formula>$B$34</formula>
    </cfRule>
    <cfRule type="cellIs" dxfId="337" priority="32" stopIfTrue="1" operator="lessThan">
      <formula>$B$34</formula>
    </cfRule>
  </conditionalFormatting>
  <conditionalFormatting sqref="C35">
    <cfRule type="cellIs" dxfId="336" priority="29" stopIfTrue="1" operator="greaterThan">
      <formula>$B$35</formula>
    </cfRule>
    <cfRule type="cellIs" dxfId="335" priority="30" stopIfTrue="1" operator="lessThan">
      <formula>$B$35</formula>
    </cfRule>
  </conditionalFormatting>
  <conditionalFormatting sqref="B20">
    <cfRule type="cellIs" dxfId="334" priority="19" operator="equal">
      <formula>"57.4 (D-9226)"</formula>
    </cfRule>
    <cfRule type="cellIs" dxfId="333" priority="20" operator="equal">
      <formula>"40.6 (D-9226)"</formula>
    </cfRule>
    <cfRule type="cellIs" dxfId="332" priority="21" operator="equal">
      <formula>"40.6 (D-5936)"</formula>
    </cfRule>
  </conditionalFormatting>
  <conditionalFormatting sqref="C27:C31">
    <cfRule type="cellIs" dxfId="331" priority="14" operator="notEqual">
      <formula>"OK"</formula>
    </cfRule>
    <cfRule type="cellIs" dxfId="330" priority="15" operator="equal">
      <formula>"OK"</formula>
    </cfRule>
  </conditionalFormatting>
  <conditionalFormatting sqref="B15">
    <cfRule type="cellIs" dxfId="329" priority="11" operator="greaterThan">
      <formula>120</formula>
    </cfRule>
  </conditionalFormatting>
  <conditionalFormatting sqref="B23 B27:B30">
    <cfRule type="cellIs" dxfId="328" priority="24" operator="lessThan">
      <formula>$B$22</formula>
    </cfRule>
    <cfRule type="cellIs" dxfId="327" priority="25" operator="greaterThan">
      <formula>$B$22</formula>
    </cfRule>
  </conditionalFormatting>
  <conditionalFormatting sqref="F22 F27:F30">
    <cfRule type="cellIs" dxfId="326" priority="12" operator="greaterThan">
      <formula>$F$23</formula>
    </cfRule>
    <cfRule type="cellIs" dxfId="325" priority="13" operator="lessThanOrEqual">
      <formula>$F$23</formula>
    </cfRule>
  </conditionalFormatting>
  <conditionalFormatting sqref="J23 I27:I30">
    <cfRule type="cellIs" dxfId="324" priority="44" stopIfTrue="1" operator="lessThanOrEqual">
      <formula>$B$15</formula>
    </cfRule>
    <cfRule type="cellIs" dxfId="323" priority="46" stopIfTrue="1" operator="greaterThan">
      <formula>$B$15</formula>
    </cfRule>
  </conditionalFormatting>
  <conditionalFormatting sqref="J27:J30">
    <cfRule type="cellIs" dxfId="322" priority="22" operator="greaterThan">
      <formula>$J$24</formula>
    </cfRule>
    <cfRule type="cellIs" dxfId="321" priority="23" operator="lessThanOrEqual">
      <formula>$J$24</formula>
    </cfRule>
  </conditionalFormatting>
  <conditionalFormatting sqref="J24">
    <cfRule type="expression" dxfId="320" priority="5">
      <formula>$J$24&lt;$J$22</formula>
    </cfRule>
    <cfRule type="expression" dxfId="319" priority="6">
      <formula>$J$24&gt;$J$22</formula>
    </cfRule>
  </conditionalFormatting>
  <conditionalFormatting sqref="F24">
    <cfRule type="cellIs" dxfId="318" priority="1" operator="lessThanOrEqual">
      <formula>$B$12</formula>
    </cfRule>
    <cfRule type="cellIs" dxfId="317" priority="4" operator="greaterThan">
      <formula>$B$12</formula>
    </cfRule>
  </conditionalFormatting>
  <conditionalFormatting sqref="E27:E30">
    <cfRule type="cellIs" dxfId="316" priority="2" operator="lessThan">
      <formula>$F$24</formula>
    </cfRule>
    <cfRule type="cellIs" dxfId="315" priority="3" operator="greaterThanOrEqual">
      <formula>$F$24</formula>
    </cfRule>
  </conditionalFormatting>
  <dataValidations count="9">
    <dataValidation type="list" allowBlank="1" showInputMessage="1" showErrorMessage="1" sqref="B19" xr:uid="{DC006E2B-10F3-40B7-A8C1-9855248FB07C}">
      <formula1>"Yes,No"</formula1>
    </dataValidation>
    <dataValidation type="list" allowBlank="1" showInputMessage="1" showErrorMessage="1" sqref="J19:K19" xr:uid="{303742C3-8829-460F-B8D2-B7EA9D180655}">
      <formula1>ListBrakeType</formula1>
    </dataValidation>
    <dataValidation type="list" allowBlank="1" showInputMessage="1" showErrorMessage="1" sqref="J20" xr:uid="{321CC2B4-EADE-4ADB-9292-7887604784D4}">
      <formula1>LookupBrakeQty</formula1>
    </dataValidation>
    <dataValidation type="list" allowBlank="1" showInputMessage="1" showErrorMessage="1" sqref="F19" xr:uid="{FF59000E-C125-41D2-A566-9B7937E2855A}">
      <formula1>HoldDownModels</formula1>
    </dataValidation>
    <dataValidation type="list" allowBlank="1" showInputMessage="1" showErrorMessage="1" sqref="G19" xr:uid="{4CDA3ED5-FB9D-4D89-BA7F-5549990D991F}">
      <formula1>HoldDownCylinders</formula1>
    </dataValidation>
    <dataValidation type="list" allowBlank="1" showInputMessage="1" showErrorMessage="1" sqref="B20" xr:uid="{761512E7-5EF4-4E55-9A86-11A5CF68F4B0}">
      <formula1>ThreadingDrives</formula1>
    </dataValidation>
    <dataValidation type="list" allowBlank="1" showInputMessage="1" showErrorMessage="1" sqref="B8" xr:uid="{13731050-BF07-4FF0-9CF9-60102BB729F4}">
      <formula1>ReelModels</formula1>
    </dataValidation>
    <dataValidation type="list" allowBlank="1" showInputMessage="1" showErrorMessage="1" sqref="B9" xr:uid="{E630FB61-E085-4A7C-91EF-4F2E2BF6F502}">
      <formula1>ReelWidths</formula1>
    </dataValidation>
    <dataValidation type="list" allowBlank="1" showInputMessage="1" showErrorMessage="1" sqref="B10" xr:uid="{DBBEF187-74CA-417A-ABEE-6AB2CF6F12BF}">
      <formula1>ReelBPs</formula1>
    </dataValidation>
  </dataValidations>
  <pageMargins left="0.25" right="0.25" top="0.75" bottom="0.75" header="0.3" footer="0.3"/>
  <pageSetup orientation="landscape" r:id="rId1"/>
  <drawing r:id="rId2"/>
  <legacyDrawing r:id="rId3"/>
  <controls>
    <mc:AlternateContent xmlns:mc="http://schemas.openxmlformats.org/markup-compatibility/2006">
      <mc:Choice Requires="x14">
        <control shapeId="1296" r:id="rId4" name="ComboBox21">
          <controlPr locked="0" defaultSize="0" autoLine="0" autoPict="0" linkedCell="B19" listFillRange="LookupYesNo" r:id="rId5">
            <anchor moveWithCells="1" sizeWithCells="1">
              <from>
                <xdr:col>0</xdr:col>
                <xdr:colOff>1333500</xdr:colOff>
                <xdr:row>32</xdr:row>
                <xdr:rowOff>161925</xdr:rowOff>
              </from>
              <to>
                <xdr:col>1</xdr:col>
                <xdr:colOff>1038225</xdr:colOff>
                <xdr:row>34</xdr:row>
                <xdr:rowOff>0</xdr:rowOff>
              </to>
            </anchor>
          </controlPr>
        </control>
      </mc:Choice>
      <mc:Fallback>
        <control shapeId="1296" r:id="rId4" name="ComboBox21"/>
      </mc:Fallback>
    </mc:AlternateContent>
    <mc:AlternateContent xmlns:mc="http://schemas.openxmlformats.org/markup-compatibility/2006">
      <mc:Choice Requires="x14">
        <control shapeId="1295" r:id="rId6" name="Button 271">
          <controlPr defaultSize="0" print="0" autoFill="0" autoPict="0" macro="[0]!Get_Info_TDBDHDReelModel">
            <anchor moveWithCells="1" sizeWithCells="1">
              <from>
                <xdr:col>0</xdr:col>
                <xdr:colOff>1343025</xdr:colOff>
                <xdr:row>31</xdr:row>
                <xdr:rowOff>161925</xdr:rowOff>
              </from>
              <to>
                <xdr:col>1</xdr:col>
                <xdr:colOff>990600</xdr:colOff>
                <xdr:row>32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97" r:id="rId7" name="Button 273">
          <controlPr defaultSize="0" print="0" autoFill="0" autoPict="0" macro="[0]!Get_Info_TDBDHDThreadDrive">
            <anchor moveWithCells="1" sizeWithCells="1">
              <from>
                <xdr:col>0</xdr:col>
                <xdr:colOff>1343025</xdr:colOff>
                <xdr:row>34</xdr:row>
                <xdr:rowOff>19050</xdr:rowOff>
              </from>
              <to>
                <xdr:col>1</xdr:col>
                <xdr:colOff>647700</xdr:colOff>
                <xdr:row>35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02" r:id="rId8" name="Button 278">
          <controlPr defaultSize="0" print="0" autoFill="0" autoPict="0" macro="[0]!Get_Info_TDBDHDHolddown">
            <anchor moveWithCells="1" sizeWithCells="1">
              <from>
                <xdr:col>3</xdr:col>
                <xdr:colOff>9525</xdr:colOff>
                <xdr:row>34</xdr:row>
                <xdr:rowOff>9525</xdr:rowOff>
              </from>
              <to>
                <xdr:col>4</xdr:col>
                <xdr:colOff>352425</xdr:colOff>
                <xdr:row>35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03" r:id="rId9" name="Button 279">
          <controlPr defaultSize="0" print="0" autoFill="0" autoPict="0" macro="[0]!Tbl_Contents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76200</xdr:colOff>
                <xdr:row>0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12" r:id="rId10" name="Button 288">
          <controlPr defaultSize="0" print="0" autoFill="0" autoPict="0" macro="[0]!JumpToBackbend">
            <anchor moveWithCells="1" sizeWithCells="1">
              <from>
                <xdr:col>0</xdr:col>
                <xdr:colOff>38100</xdr:colOff>
                <xdr:row>41</xdr:row>
                <xdr:rowOff>142875</xdr:rowOff>
              </from>
              <to>
                <xdr:col>1</xdr:col>
                <xdr:colOff>9525</xdr:colOff>
                <xdr:row>42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13" r:id="rId11" name="Button 289">
          <controlPr defaultSize="0" print="0" autoFill="0" autoPict="0" macro="[0]!JumpToFeed">
            <anchor moveWithCells="1" sizeWithCells="1">
              <from>
                <xdr:col>0</xdr:col>
                <xdr:colOff>38100</xdr:colOff>
                <xdr:row>42</xdr:row>
                <xdr:rowOff>142875</xdr:rowOff>
              </from>
              <to>
                <xdr:col>1</xdr:col>
                <xdr:colOff>9525</xdr:colOff>
                <xdr:row>43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14" r:id="rId12" name="Button 290">
          <controlPr defaultSize="0" print="0" autoFill="0" autoPict="0" macro="[0]!JumpToStrUtility">
            <anchor moveWithCells="1" sizeWithCells="1">
              <from>
                <xdr:col>0</xdr:col>
                <xdr:colOff>28575</xdr:colOff>
                <xdr:row>40</xdr:row>
                <xdr:rowOff>142875</xdr:rowOff>
              </from>
              <to>
                <xdr:col>1</xdr:col>
                <xdr:colOff>9525</xdr:colOff>
                <xdr:row>41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15" r:id="rId13" name="Button 291">
          <controlPr defaultSize="0" print="0" autoFill="0" autoPict="0" macro="[0]!JumpToEquipmentSummary">
            <anchor moveWithCells="1" sizeWithCells="1">
              <from>
                <xdr:col>0</xdr:col>
                <xdr:colOff>28575</xdr:colOff>
                <xdr:row>39</xdr:row>
                <xdr:rowOff>133350</xdr:rowOff>
              </from>
              <to>
                <xdr:col>1</xdr:col>
                <xdr:colOff>9525</xdr:colOff>
                <xdr:row>40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16" r:id="rId14" name="Button 292">
          <controlPr defaultSize="0" print="0" autoFill="0" autoPict="0" macro="[0]!JumpToRFQ">
            <anchor moveWithCells="1" sizeWithCells="1">
              <from>
                <xdr:col>0</xdr:col>
                <xdr:colOff>28575</xdr:colOff>
                <xdr:row>37</xdr:row>
                <xdr:rowOff>114300</xdr:rowOff>
              </from>
              <to>
                <xdr:col>1</xdr:col>
                <xdr:colOff>9525</xdr:colOff>
                <xdr:row>38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17" r:id="rId15" name="Button 293">
          <controlPr defaultSize="0" print="0" autoFill="0" autoPict="0" macro="[0]!JumpToMaterialSpecs">
            <anchor moveWithCells="1" sizeWithCells="1">
              <from>
                <xdr:col>0</xdr:col>
                <xdr:colOff>28575</xdr:colOff>
                <xdr:row>38</xdr:row>
                <xdr:rowOff>123825</xdr:rowOff>
              </from>
              <to>
                <xdr:col>1</xdr:col>
                <xdr:colOff>9525</xdr:colOff>
                <xdr:row>39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19" r:id="rId16" name="Check Box 295">
          <controlPr defaultSize="0" autoFill="0" autoLine="0" autoPict="0">
            <anchor moveWithCells="1">
              <from>
                <xdr:col>4</xdr:col>
                <xdr:colOff>28575</xdr:colOff>
                <xdr:row>30</xdr:row>
                <xdr:rowOff>19050</xdr:rowOff>
              </from>
              <to>
                <xdr:col>5</xdr:col>
                <xdr:colOff>495300</xdr:colOff>
                <xdr:row>37</xdr:row>
                <xdr:rowOff>0</xdr:rowOff>
              </to>
            </anchor>
          </controlPr>
        </control>
      </mc:Choice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41415-3E74-4F86-A46A-9D07A5297412}">
  <sheetPr codeName="Sheet11">
    <tabColor theme="1"/>
  </sheetPr>
  <dimension ref="A1:W64"/>
  <sheetViews>
    <sheetView zoomScaleNormal="100" workbookViewId="0">
      <selection activeCell="B23" sqref="B23"/>
    </sheetView>
  </sheetViews>
  <sheetFormatPr defaultRowHeight="15" x14ac:dyDescent="0.25"/>
  <cols>
    <col min="1" max="1" width="20.28515625" customWidth="1"/>
    <col min="2" max="2" width="15.7109375" bestFit="1" customWidth="1"/>
    <col min="3" max="3" width="9.85546875" customWidth="1"/>
    <col min="4" max="4" width="9.28515625" customWidth="1"/>
    <col min="5" max="5" width="13.7109375" customWidth="1"/>
    <col min="6" max="6" width="12.5703125" customWidth="1"/>
    <col min="7" max="7" width="14.28515625" customWidth="1"/>
    <col min="8" max="8" width="9.140625" customWidth="1"/>
    <col min="9" max="9" width="10" customWidth="1"/>
    <col min="10" max="10" width="14.140625" customWidth="1"/>
    <col min="11" max="11" width="8.140625" customWidth="1"/>
    <col min="15" max="15" width="16.28515625" customWidth="1"/>
    <col min="21" max="21" width="12.28515625" customWidth="1"/>
    <col min="24" max="24" width="13.5703125" customWidth="1"/>
  </cols>
  <sheetData>
    <row r="1" spans="1:15" ht="18.75" x14ac:dyDescent="0.3">
      <c r="C1" s="937" t="s">
        <v>0</v>
      </c>
      <c r="D1" s="937"/>
      <c r="E1" s="937"/>
      <c r="F1" s="937"/>
      <c r="G1" s="937"/>
    </row>
    <row r="2" spans="1:15" x14ac:dyDescent="0.25">
      <c r="C2" s="938" t="s">
        <v>76</v>
      </c>
      <c r="D2" s="938"/>
      <c r="E2" s="938"/>
      <c r="F2" s="938"/>
      <c r="G2" s="938"/>
    </row>
    <row r="4" spans="1:15" x14ac:dyDescent="0.25">
      <c r="A4" s="1" t="s">
        <v>1</v>
      </c>
      <c r="B4" s="956" t="str">
        <f>Customer</f>
        <v>ULTRATECH TOOL&amp; DESIGN, INC.</v>
      </c>
      <c r="C4" s="953"/>
      <c r="D4" s="954"/>
    </row>
    <row r="5" spans="1:15" x14ac:dyDescent="0.25">
      <c r="A5" s="1" t="s">
        <v>2</v>
      </c>
      <c r="B5" s="952">
        <f>CalcDate</f>
        <v>0</v>
      </c>
      <c r="C5" s="953"/>
      <c r="D5" s="954"/>
      <c r="E5" s="15"/>
    </row>
    <row r="6" spans="1:15" x14ac:dyDescent="0.25">
      <c r="A6" s="1" t="s">
        <v>3</v>
      </c>
      <c r="B6" s="955">
        <f>Reference</f>
        <v>0</v>
      </c>
      <c r="C6" s="955"/>
      <c r="D6" s="955"/>
      <c r="E6" s="15"/>
    </row>
    <row r="7" spans="1:15" ht="16.149999999999999" customHeight="1" x14ac:dyDescent="0.25">
      <c r="E7" s="25"/>
      <c r="F7" s="25"/>
      <c r="G7" s="25"/>
    </row>
    <row r="8" spans="1:15" ht="14.45" customHeight="1" x14ac:dyDescent="0.25">
      <c r="A8" s="1" t="s">
        <v>49</v>
      </c>
      <c r="B8" s="26" t="str">
        <f>reel_model</f>
        <v>CPR-200</v>
      </c>
      <c r="E8" s="957" t="s">
        <v>65</v>
      </c>
      <c r="F8" s="957"/>
      <c r="G8" s="25"/>
    </row>
    <row r="9" spans="1:15" x14ac:dyDescent="0.25">
      <c r="A9" s="1" t="s">
        <v>63</v>
      </c>
      <c r="B9" s="447" t="str">
        <f>Material_2</f>
        <v>HS Steel</v>
      </c>
    </row>
    <row r="10" spans="1:15" x14ac:dyDescent="0.25">
      <c r="A10" s="5" t="s">
        <v>7</v>
      </c>
      <c r="B10" s="438">
        <f>CoilWidth_2</f>
        <v>16</v>
      </c>
      <c r="C10" s="3" t="s">
        <v>4</v>
      </c>
      <c r="E10" s="5" t="s">
        <v>18</v>
      </c>
      <c r="F10" s="742">
        <f>B54</f>
        <v>17013.25731640368</v>
      </c>
      <c r="G10" s="3" t="s">
        <v>29</v>
      </c>
      <c r="H10" s="904" t="s">
        <v>59</v>
      </c>
      <c r="I10" s="904"/>
      <c r="J10" s="6">
        <v>4</v>
      </c>
      <c r="K10" s="3" t="s">
        <v>4</v>
      </c>
    </row>
    <row r="11" spans="1:15" x14ac:dyDescent="0.25">
      <c r="A11" s="5" t="s">
        <v>6</v>
      </c>
      <c r="B11" s="438">
        <f>Thickness_2</f>
        <v>0.3</v>
      </c>
      <c r="C11" s="3" t="s">
        <v>4</v>
      </c>
      <c r="E11" s="5" t="s">
        <v>8</v>
      </c>
      <c r="F11" s="230">
        <f>IF(SQRT(((cw_weight*4)/(VLOOKUP(material,LookupMaterial,4,FALSE)*PI()*width))+(coil_ID^2))&gt;72, 72, SQRT(((cw_weight*4)/(VLOOKUP(material,LookupMaterial,4,FALSE)*PI()*width))+(coil_ID^2)))</f>
        <v>72</v>
      </c>
      <c r="G11" s="3" t="s">
        <v>4</v>
      </c>
      <c r="H11" s="904" t="s">
        <v>58</v>
      </c>
      <c r="I11" s="904"/>
      <c r="J11" s="230">
        <f>VLOOKUP(J17,LookupBrakeType,2,FALSE)</f>
        <v>5</v>
      </c>
      <c r="K11" s="3" t="s">
        <v>4</v>
      </c>
    </row>
    <row r="12" spans="1:15" x14ac:dyDescent="0.25">
      <c r="A12" s="5" t="s">
        <v>57</v>
      </c>
      <c r="B12" s="440">
        <f>YieldStrength_2</f>
        <v>100000</v>
      </c>
      <c r="C12" s="3" t="s">
        <v>11</v>
      </c>
      <c r="E12" s="16" t="s">
        <v>36</v>
      </c>
      <c r="F12" s="743">
        <f>IF(LEFT(hydthd, 2)="22", 22.6, IF(LEFT(hydthd,2)="38", 38, IF(LEFT(hydthd,2)="60", 60, IF(LEFT(hydthd,2)="60", 60,))))</f>
        <v>60</v>
      </c>
      <c r="G12" s="3" t="s">
        <v>10</v>
      </c>
      <c r="H12" s="904" t="s">
        <v>60</v>
      </c>
      <c r="I12" s="904"/>
      <c r="J12" s="224">
        <v>0.6</v>
      </c>
    </row>
    <row r="13" spans="1:15" x14ac:dyDescent="0.25">
      <c r="A13" s="5" t="s">
        <v>55</v>
      </c>
      <c r="B13" s="567">
        <f>'TD,DB,HD (1)'!air_press</f>
        <v>80</v>
      </c>
      <c r="C13" s="3" t="s">
        <v>11</v>
      </c>
      <c r="E13" s="5" t="s">
        <v>39</v>
      </c>
      <c r="F13" s="229">
        <f>(yield/800)</f>
        <v>125</v>
      </c>
      <c r="G13" s="3" t="s">
        <v>11</v>
      </c>
    </row>
    <row r="14" spans="1:15" ht="17.25" x14ac:dyDescent="0.25">
      <c r="A14" s="5" t="s">
        <v>56</v>
      </c>
      <c r="B14" s="692">
        <f>'TD,DB,HD (1)'!decel</f>
        <v>1</v>
      </c>
      <c r="C14" s="3" t="s">
        <v>28</v>
      </c>
      <c r="E14" s="5" t="s">
        <v>39</v>
      </c>
      <c r="F14" s="229">
        <f>thk*width*(yield/800)</f>
        <v>600</v>
      </c>
      <c r="G14" s="3" t="s">
        <v>40</v>
      </c>
      <c r="O14" s="449"/>
    </row>
    <row r="15" spans="1:15" x14ac:dyDescent="0.25">
      <c r="E15" s="17"/>
      <c r="F15" s="3"/>
      <c r="O15" s="450"/>
    </row>
    <row r="16" spans="1:15" x14ac:dyDescent="0.25">
      <c r="A16" s="923" t="s">
        <v>901</v>
      </c>
      <c r="B16" s="923"/>
      <c r="C16" s="3"/>
      <c r="D16" s="923" t="s">
        <v>74</v>
      </c>
      <c r="E16" s="923"/>
      <c r="F16" s="923"/>
      <c r="G16" s="690" t="s">
        <v>1377</v>
      </c>
      <c r="H16" s="923" t="s">
        <v>54</v>
      </c>
      <c r="I16" s="923"/>
      <c r="J16" s="923"/>
    </row>
    <row r="17" spans="1:12" x14ac:dyDescent="0.25">
      <c r="A17" s="446" t="s">
        <v>50</v>
      </c>
      <c r="B17" s="686" t="str">
        <f>'TD,DB,HD (1)'!B19</f>
        <v>Yes</v>
      </c>
      <c r="C17" s="3"/>
      <c r="D17" s="958" t="s">
        <v>67</v>
      </c>
      <c r="E17" s="958"/>
      <c r="F17" s="447" t="str">
        <f>'TD,DB,HD (1)'!F19</f>
        <v>XD</v>
      </c>
      <c r="G17" s="5" t="str">
        <f>'TD,DB,HD (1)'!G19</f>
        <v>Hydraulic</v>
      </c>
      <c r="H17" s="949" t="s">
        <v>37</v>
      </c>
      <c r="I17" s="949"/>
      <c r="J17" s="950" t="str">
        <f>'TD,DB,HD (1)'!J19</f>
        <v>Failsafe - Double Stage</v>
      </c>
      <c r="K17" s="951"/>
    </row>
    <row r="18" spans="1:12" x14ac:dyDescent="0.25">
      <c r="A18" s="446" t="s">
        <v>5</v>
      </c>
      <c r="B18" s="687" t="str">
        <f>'TD,DB,HD (1)'!B20</f>
        <v>60 cu in (D-13374)</v>
      </c>
      <c r="D18" s="958" t="s">
        <v>69</v>
      </c>
      <c r="E18" s="958"/>
      <c r="F18" s="447">
        <f>'TD,DB,HD (1)'!F20</f>
        <v>750</v>
      </c>
      <c r="G18" s="31" t="str">
        <f>'TD,DB,HD (1)'!G20</f>
        <v>psi Hydraulic</v>
      </c>
      <c r="H18" s="949" t="s">
        <v>38</v>
      </c>
      <c r="I18" s="949"/>
      <c r="J18" s="691">
        <f>'TD,DB,HD (1)'!J20</f>
        <v>1</v>
      </c>
    </row>
    <row r="19" spans="1:12" x14ac:dyDescent="0.25">
      <c r="K19" s="18"/>
    </row>
    <row r="20" spans="1:12" ht="14.45" customHeight="1" x14ac:dyDescent="0.25">
      <c r="A20" s="5" t="s">
        <v>963</v>
      </c>
      <c r="B20" s="530">
        <f>IF(VLOOKUP(TypeOfLine, LookupTypeOfLine, 3, FALSE)="PULLOFF", _xlfn.XLOOKUP(DriveKey, tblDrives[DriveKey], tblDrives[Torque], 0, 0, 1), 'Reel Drive'!TQEMPTY)</f>
        <v>25920</v>
      </c>
      <c r="C20" s="19" t="s">
        <v>41</v>
      </c>
      <c r="D20" s="926" t="s">
        <v>66</v>
      </c>
      <c r="E20" s="926"/>
      <c r="F20" s="530">
        <f>IF(M&lt;My,M/(B53*(coil_ID/2)), IF(M&gt;My, ((width*(thk^2)/4)*yield*((1-((1/3)*((y/(thk/2))^2)))))/(B53*(coil_ID/2))))</f>
        <v>7073.1668648434406</v>
      </c>
      <c r="G20" s="20" t="s">
        <v>40</v>
      </c>
      <c r="H20" s="924" t="s">
        <v>53</v>
      </c>
      <c r="I20" s="924"/>
      <c r="J20" s="530">
        <f>(3*decel*cw_weight*((coil_od^2)+(coil_ID^2)))/(386*coil_od)+tension_tor</f>
        <v>31854.968572409125</v>
      </c>
      <c r="K20" s="20" t="s">
        <v>41</v>
      </c>
    </row>
    <row r="21" spans="1:12" x14ac:dyDescent="0.25">
      <c r="A21" s="5" t="s">
        <v>78</v>
      </c>
      <c r="B21" s="530">
        <f>tension*coil_od/2</f>
        <v>21600</v>
      </c>
      <c r="C21" s="19" t="s">
        <v>41</v>
      </c>
      <c r="D21" s="926" t="s">
        <v>68</v>
      </c>
      <c r="E21" s="926"/>
      <c r="F21" s="530">
        <f>_xlfn.XLOOKUP(HolddownMatrixKey, tblHDMatrix[HolddownMatrixKey], tblHDMatrix[ForceFactor], 0, 0, 1)*holddown_pressure</f>
        <v>7881.9749999999995</v>
      </c>
      <c r="G21" s="3" t="s">
        <v>40</v>
      </c>
      <c r="H21" s="926" t="str">
        <f>J17</f>
        <v>Failsafe - Double Stage</v>
      </c>
      <c r="I21" s="926"/>
      <c r="J21" s="708">
        <f>VLOOKUP($J$17,LookupPressRequired,3,FALSE)/brake_qty</f>
        <v>57.481584017413702</v>
      </c>
      <c r="K21" s="927" t="s">
        <v>77</v>
      </c>
      <c r="L21" s="928"/>
    </row>
    <row r="22" spans="1:12" x14ac:dyDescent="0.25">
      <c r="B22" s="21"/>
      <c r="D22" s="920" t="s">
        <v>1418</v>
      </c>
      <c r="E22" s="921"/>
      <c r="F22" s="447">
        <f>_xlfn.XLOOKUP(HolddownMatrixKey, tblHDMatrix[HolddownMatrixKey], tblHDMatrix[MinWidth], 0, 0, 1)</f>
        <v>16.625</v>
      </c>
      <c r="H22" s="920" t="s">
        <v>61</v>
      </c>
      <c r="I22" s="921"/>
      <c r="J22" s="707">
        <f>VLOOKUP($J$17,LookupPressRequired,4,FALSE)*friction*no_brakepads*brake_dist*brake_qty</f>
        <v>34344</v>
      </c>
      <c r="K22" s="20" t="s">
        <v>41</v>
      </c>
    </row>
    <row r="23" spans="1:12" x14ac:dyDescent="0.25">
      <c r="A23" s="60" t="s">
        <v>902</v>
      </c>
      <c r="B23" s="360" t="str">
        <f>IF(VLOOKUP(TypeOfLine, LookupTypeOfLine, 3, FALSE)="PULLOFF", IF(AND($B$21&lt;$B$20,$F$20&lt;$F$21,OR($F$22&lt;$B$10,MinHoldDownConfirmed),$J$21&lt;$B$13, OR($J$22&gt;$J$20,$J$22=0)),"OK", "NOT OK"), "USE MOTORIZED")</f>
        <v>OK</v>
      </c>
      <c r="F23" s="27"/>
    </row>
    <row r="24" spans="1:12" x14ac:dyDescent="0.25">
      <c r="B24" s="22"/>
      <c r="C24" s="22"/>
      <c r="D24" s="2"/>
      <c r="F24" s="536"/>
      <c r="J24" s="41"/>
    </row>
    <row r="25" spans="1:12" x14ac:dyDescent="0.25">
      <c r="B25" s="4"/>
      <c r="C25" s="4"/>
      <c r="D25" s="4"/>
      <c r="F25" s="2"/>
    </row>
    <row r="27" spans="1:12" x14ac:dyDescent="0.25">
      <c r="B27" s="4"/>
      <c r="C27" s="4"/>
      <c r="F27" s="13"/>
    </row>
    <row r="28" spans="1:12" x14ac:dyDescent="0.25">
      <c r="B28" s="4"/>
      <c r="C28" s="4"/>
      <c r="F28" s="13"/>
    </row>
    <row r="29" spans="1:12" x14ac:dyDescent="0.25">
      <c r="B29" s="4"/>
      <c r="C29" s="4"/>
    </row>
    <row r="30" spans="1:12" x14ac:dyDescent="0.25">
      <c r="B30" s="12"/>
      <c r="C30" s="12"/>
    </row>
    <row r="31" spans="1:12" x14ac:dyDescent="0.25">
      <c r="B31" s="12"/>
      <c r="C31" s="12"/>
    </row>
    <row r="42" spans="1:23" hidden="1" x14ac:dyDescent="0.25"/>
    <row r="43" spans="1:23" hidden="1" x14ac:dyDescent="0.25">
      <c r="W43" s="8"/>
    </row>
    <row r="44" spans="1:23" hidden="1" x14ac:dyDescent="0.25">
      <c r="A44" s="2">
        <v>1</v>
      </c>
      <c r="B44" s="2">
        <v>2</v>
      </c>
      <c r="C44" s="2">
        <v>3</v>
      </c>
      <c r="D44" s="2">
        <v>4</v>
      </c>
      <c r="E44" s="2">
        <v>5</v>
      </c>
      <c r="F44" s="2">
        <v>6</v>
      </c>
      <c r="G44" s="2">
        <v>7</v>
      </c>
      <c r="H44" s="2"/>
      <c r="I44" s="2"/>
      <c r="J44" s="2"/>
      <c r="K44" s="2"/>
      <c r="P44" s="2"/>
    </row>
    <row r="45" spans="1:23" hidden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864" t="s">
        <v>21</v>
      </c>
      <c r="M45" s="864"/>
      <c r="N45" s="864"/>
      <c r="O45" s="2">
        <f>VLOOKUP(material, LookupMaterial, 3, FALSE)</f>
        <v>29000000</v>
      </c>
      <c r="P45" s="2"/>
    </row>
    <row r="46" spans="1:23" hidden="1" x14ac:dyDescent="0.25">
      <c r="A46" s="2" t="s">
        <v>15</v>
      </c>
      <c r="B46" s="2" t="s">
        <v>12</v>
      </c>
      <c r="C46" s="2" t="s">
        <v>13</v>
      </c>
      <c r="D46" s="2" t="s">
        <v>19</v>
      </c>
      <c r="E46" s="2" t="s">
        <v>20</v>
      </c>
      <c r="F46" s="2" t="s">
        <v>16</v>
      </c>
      <c r="G46" s="2" t="s">
        <v>17</v>
      </c>
      <c r="H46" s="2"/>
      <c r="I46" s="2"/>
      <c r="J46" s="2"/>
      <c r="K46" s="2"/>
      <c r="L46" s="2"/>
      <c r="M46" s="2"/>
      <c r="N46" s="2"/>
      <c r="O46" s="2"/>
      <c r="P46" s="2"/>
    </row>
    <row r="47" spans="1:23" hidden="1" x14ac:dyDescent="0.25">
      <c r="A47" s="7">
        <v>22.6</v>
      </c>
      <c r="B47" s="7">
        <v>10</v>
      </c>
      <c r="C47" s="7">
        <v>2.9089999999999998</v>
      </c>
      <c r="D47" s="7">
        <v>4.75</v>
      </c>
      <c r="E47" s="7" t="s">
        <v>14</v>
      </c>
      <c r="F47" s="4">
        <v>2.8980000000000001</v>
      </c>
      <c r="G47" s="4">
        <v>3.2360000000000002</v>
      </c>
      <c r="H47" s="2"/>
      <c r="I47" s="2"/>
      <c r="J47" s="2"/>
      <c r="K47" s="2"/>
      <c r="L47" s="925" t="s">
        <v>22</v>
      </c>
      <c r="M47" s="925"/>
      <c r="N47" s="925"/>
      <c r="O47" s="2">
        <f>(mod*width*(thk^3))/(12*(coil_ID/2))</f>
        <v>104400</v>
      </c>
      <c r="P47" s="2"/>
    </row>
    <row r="48" spans="1:23" hidden="1" x14ac:dyDescent="0.25">
      <c r="A48" s="7">
        <v>40.6</v>
      </c>
      <c r="B48" s="7">
        <v>10</v>
      </c>
      <c r="C48" s="7">
        <v>2.9</v>
      </c>
      <c r="D48" s="7">
        <v>3.42</v>
      </c>
      <c r="E48" s="7" t="s">
        <v>14</v>
      </c>
      <c r="F48" s="4">
        <v>2.8980000000000001</v>
      </c>
      <c r="G48" s="4">
        <v>3.2360000000000002</v>
      </c>
      <c r="H48" s="2"/>
      <c r="I48" s="2"/>
      <c r="J48" s="2"/>
      <c r="K48" s="2"/>
      <c r="L48" s="925" t="s">
        <v>23</v>
      </c>
      <c r="M48" s="925"/>
      <c r="N48" s="925"/>
      <c r="O48" s="2">
        <f>(width*(thk^2)*yield)/6</f>
        <v>24000</v>
      </c>
      <c r="P48" s="2"/>
    </row>
    <row r="49" spans="1:18" hidden="1" x14ac:dyDescent="0.25">
      <c r="A49" s="7">
        <v>57.4</v>
      </c>
      <c r="B49" s="7">
        <v>14.75</v>
      </c>
      <c r="C49" s="7">
        <v>3.8</v>
      </c>
      <c r="D49" s="7">
        <v>6.9089999999999998</v>
      </c>
      <c r="E49" s="7">
        <v>2.9</v>
      </c>
      <c r="F49" s="4">
        <v>3.2360000000000002</v>
      </c>
      <c r="G49" s="4">
        <v>4.4370000000000003</v>
      </c>
      <c r="H49" s="2"/>
      <c r="I49" s="2"/>
      <c r="J49" s="2"/>
      <c r="K49" s="30"/>
      <c r="L49" s="2"/>
      <c r="M49" s="2"/>
      <c r="N49" s="2"/>
      <c r="O49" s="2"/>
      <c r="P49" s="2"/>
    </row>
    <row r="50" spans="1:18" hidden="1" x14ac:dyDescent="0.25">
      <c r="A50" s="7">
        <v>60</v>
      </c>
      <c r="B50" s="7">
        <v>11.85</v>
      </c>
      <c r="C50" s="7">
        <v>4.2300000000000004</v>
      </c>
      <c r="D50" s="7">
        <v>6.9089999999999998</v>
      </c>
      <c r="E50" s="7" t="s">
        <v>14</v>
      </c>
      <c r="F50" s="4">
        <v>2.8980000000000001</v>
      </c>
      <c r="G50" s="4">
        <v>3.2360000000000002</v>
      </c>
      <c r="H50" s="2"/>
      <c r="I50" s="2"/>
      <c r="J50" s="2"/>
      <c r="K50" s="30"/>
      <c r="L50" s="2"/>
      <c r="O50" s="2"/>
      <c r="P50" s="2"/>
    </row>
    <row r="51" spans="1:18" hidden="1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30"/>
      <c r="L51" s="2"/>
      <c r="M51" s="2" t="s">
        <v>30</v>
      </c>
      <c r="N51" s="2">
        <f>(thk*(coil_ID/2))/(2*((thk*mod)/(2*yield)))</f>
        <v>3.4482758620689655E-2</v>
      </c>
      <c r="O51" s="2"/>
      <c r="P51" s="2"/>
    </row>
    <row r="52" spans="1:18" hidden="1" x14ac:dyDescent="0.25">
      <c r="A52" s="5" t="s">
        <v>9</v>
      </c>
      <c r="B52" s="9">
        <f>CoilID_2</f>
        <v>20</v>
      </c>
      <c r="C52" s="3" t="s">
        <v>4</v>
      </c>
      <c r="D52" s="948" t="s">
        <v>25</v>
      </c>
      <c r="E52" s="948"/>
      <c r="F52" s="10">
        <v>12</v>
      </c>
      <c r="G52" s="3" t="s">
        <v>4</v>
      </c>
      <c r="H52" s="2"/>
      <c r="I52" s="2"/>
      <c r="J52" s="14" t="s">
        <v>31</v>
      </c>
      <c r="K52" s="28">
        <f>tension_tor*(coil_od/2)</f>
        <v>777600</v>
      </c>
      <c r="L52" s="2"/>
      <c r="M52" s="2"/>
      <c r="N52" s="2"/>
      <c r="O52" s="2"/>
      <c r="P52" s="2"/>
    </row>
    <row r="53" spans="1:18" hidden="1" x14ac:dyDescent="0.25">
      <c r="A53" s="5" t="s">
        <v>62</v>
      </c>
      <c r="B53" s="9">
        <v>0.5</v>
      </c>
      <c r="D53" s="948" t="s">
        <v>27</v>
      </c>
      <c r="E53" s="948"/>
      <c r="F53" s="6">
        <v>1</v>
      </c>
      <c r="G53" s="3" t="s">
        <v>4</v>
      </c>
      <c r="H53" s="2"/>
      <c r="I53" s="2"/>
      <c r="J53" s="2"/>
      <c r="K53" s="30"/>
      <c r="L53" s="2"/>
      <c r="M53" s="2"/>
      <c r="N53" s="2"/>
      <c r="O53" s="2"/>
      <c r="P53" s="2"/>
      <c r="R53">
        <f>(friction*(PI()*((brake_paddia/2)^2)*air_press)*(0.965*brake_dist))</f>
        <v>6984.8914422854023</v>
      </c>
    </row>
    <row r="54" spans="1:18" hidden="1" x14ac:dyDescent="0.25">
      <c r="A54" t="s">
        <v>18</v>
      </c>
      <c r="B54">
        <f>IF((((72^2)-(coil_ID^2))/4*PI()*width*(VLOOKUP(material,LookupMaterial,4,FALSE)))&lt;VLOOKUP(reel_model, LookupReels,2,FALSE), (((72^2)-(coil_ID^2))/4*PI()*width*(VLOOKUP(material,LookupMaterial,4,FALSE))), VLOOKUP(reel_model, LookupReels,2))</f>
        <v>17013.25731640368</v>
      </c>
      <c r="D54" s="948" t="s">
        <v>26</v>
      </c>
      <c r="E54" s="948"/>
      <c r="F54" s="11">
        <v>2</v>
      </c>
      <c r="G54" s="3"/>
      <c r="K54" s="29"/>
    </row>
    <row r="55" spans="1:18" hidden="1" x14ac:dyDescent="0.25">
      <c r="K55" s="29"/>
      <c r="P55" s="29"/>
    </row>
    <row r="56" spans="1:18" hidden="1" x14ac:dyDescent="0.25">
      <c r="K56" s="29"/>
      <c r="M56" s="2"/>
      <c r="P56" s="29"/>
    </row>
    <row r="57" spans="1:18" hidden="1" x14ac:dyDescent="0.25">
      <c r="B57" s="60" t="s">
        <v>997</v>
      </c>
      <c r="C57" s="564"/>
      <c r="D57" s="564" t="s">
        <v>24</v>
      </c>
      <c r="E57" s="567" t="s">
        <v>995</v>
      </c>
      <c r="K57" s="29"/>
      <c r="P57" s="29"/>
    </row>
    <row r="58" spans="1:18" hidden="1" x14ac:dyDescent="0.25">
      <c r="B58" s="560" t="s">
        <v>32</v>
      </c>
      <c r="C58" s="561"/>
      <c r="D58" s="562">
        <f>(4*$J$20)/(PI()*friction*brake_dist*no_brakepads*cyl_bore^2)</f>
        <v>112.66390467413086</v>
      </c>
      <c r="E58" s="563">
        <v>0</v>
      </c>
      <c r="J58" s="566" t="s">
        <v>998</v>
      </c>
      <c r="K58" s="29" t="s">
        <v>75</v>
      </c>
      <c r="P58" s="29"/>
    </row>
    <row r="59" spans="1:18" hidden="1" x14ac:dyDescent="0.25">
      <c r="B59" s="560" t="s">
        <v>33</v>
      </c>
      <c r="C59" s="561"/>
      <c r="D59" s="562">
        <f>(4*$J$20)/(PI()*friction*brake_dist*no_brakepads*(2*cyl_bore^2-cyl_rod^2))</f>
        <v>57.481584017413702</v>
      </c>
      <c r="E59" s="563">
        <v>0</v>
      </c>
    </row>
    <row r="60" spans="1:18" hidden="1" x14ac:dyDescent="0.25">
      <c r="B60" s="560" t="s">
        <v>34</v>
      </c>
      <c r="C60" s="561"/>
      <c r="D60" s="562">
        <f>(4*$J$20)/(PI()*friction*brake_dist*no_brakepads*(3*cyl_bore^2-2*cyl_rod^2))</f>
        <v>38.583528997990022</v>
      </c>
      <c r="E60" s="563">
        <v>0</v>
      </c>
    </row>
    <row r="61" spans="1:18" hidden="1" x14ac:dyDescent="0.25">
      <c r="B61" s="560" t="s">
        <v>959</v>
      </c>
      <c r="C61" s="564"/>
      <c r="D61" s="562">
        <f>(4*$J$20)/(PI()*friction*brake_dist*no_brakepads*cyl_bore^2)</f>
        <v>112.66390467413086</v>
      </c>
      <c r="E61" s="563">
        <v>1000</v>
      </c>
    </row>
    <row r="62" spans="1:18" hidden="1" x14ac:dyDescent="0.25">
      <c r="B62" s="560" t="s">
        <v>35</v>
      </c>
      <c r="C62" s="564"/>
      <c r="D62" s="562">
        <f>(4*$J$20)/(PI()*friction*brake_dist*no_brakepads*(2*cyl_bore^2-cyl_rod^2))</f>
        <v>57.481584017413702</v>
      </c>
      <c r="E62" s="563">
        <v>2385</v>
      </c>
    </row>
    <row r="63" spans="1:18" hidden="1" x14ac:dyDescent="0.25"/>
    <row r="64" spans="1:18" hidden="1" x14ac:dyDescent="0.25"/>
  </sheetData>
  <sheetProtection algorithmName="SHA-512" hashValue="wocKsOla0jmVucfaRwBg7AZnS+2pUwcqrqo5hiBa2dACdV6k+GdvHVQ5CeMPsJtklAcfaWTSkqFulAFpPDOaNg==" saltValue="cO0bcrrB8UR8/04b65/raw==" spinCount="100000" sheet="1" objects="1" scenarios="1"/>
  <mergeCells count="30">
    <mergeCell ref="D54:E54"/>
    <mergeCell ref="D53:E53"/>
    <mergeCell ref="D52:E52"/>
    <mergeCell ref="D20:E20"/>
    <mergeCell ref="C1:G1"/>
    <mergeCell ref="C2:G2"/>
    <mergeCell ref="B5:D5"/>
    <mergeCell ref="B6:D6"/>
    <mergeCell ref="B4:D4"/>
    <mergeCell ref="A16:B16"/>
    <mergeCell ref="D16:F16"/>
    <mergeCell ref="E8:F8"/>
    <mergeCell ref="D21:E21"/>
    <mergeCell ref="D18:E18"/>
    <mergeCell ref="D17:E17"/>
    <mergeCell ref="D22:E22"/>
    <mergeCell ref="L47:N47"/>
    <mergeCell ref="L48:N48"/>
    <mergeCell ref="L45:N45"/>
    <mergeCell ref="H21:I21"/>
    <mergeCell ref="K21:L21"/>
    <mergeCell ref="H22:I22"/>
    <mergeCell ref="H10:I10"/>
    <mergeCell ref="H11:I11"/>
    <mergeCell ref="H12:I12"/>
    <mergeCell ref="H16:J16"/>
    <mergeCell ref="H20:I20"/>
    <mergeCell ref="H17:I17"/>
    <mergeCell ref="H18:I18"/>
    <mergeCell ref="J17:K17"/>
  </mergeCells>
  <conditionalFormatting sqref="B30:B31">
    <cfRule type="cellIs" dxfId="314" priority="20" stopIfTrue="1" operator="lessThan">
      <formula>$C$31</formula>
    </cfRule>
    <cfRule type="cellIs" dxfId="313" priority="21" stopIfTrue="1" operator="greaterThan">
      <formula>$C$31</formula>
    </cfRule>
  </conditionalFormatting>
  <conditionalFormatting sqref="C30">
    <cfRule type="cellIs" dxfId="312" priority="18" stopIfTrue="1" operator="greaterThan">
      <formula>$B$30</formula>
    </cfRule>
    <cfRule type="cellIs" dxfId="311" priority="19" stopIfTrue="1" operator="lessThan">
      <formula>$B$30</formula>
    </cfRule>
  </conditionalFormatting>
  <conditionalFormatting sqref="C31">
    <cfRule type="cellIs" dxfId="310" priority="16" stopIfTrue="1" operator="greaterThan">
      <formula>$B$31</formula>
    </cfRule>
    <cfRule type="cellIs" dxfId="309" priority="17" stopIfTrue="1" operator="lessThan">
      <formula>$B$31</formula>
    </cfRule>
  </conditionalFormatting>
  <conditionalFormatting sqref="J21">
    <cfRule type="cellIs" dxfId="308" priority="22" stopIfTrue="1" operator="lessThan">
      <formula>$B$13</formula>
    </cfRule>
    <cfRule type="cellIs" dxfId="307" priority="23" stopIfTrue="1" operator="greaterThan">
      <formula>$B$13</formula>
    </cfRule>
  </conditionalFormatting>
  <conditionalFormatting sqref="B21">
    <cfRule type="cellIs" dxfId="306" priority="14" operator="lessThan">
      <formula>$B$20</formula>
    </cfRule>
    <cfRule type="cellIs" dxfId="305" priority="15" operator="greaterThan">
      <formula>$B$20</formula>
    </cfRule>
  </conditionalFormatting>
  <conditionalFormatting sqref="J22">
    <cfRule type="expression" dxfId="304" priority="12">
      <formula>$J$22&lt;$J$20</formula>
    </cfRule>
    <cfRule type="expression" dxfId="303" priority="13">
      <formula>$J$22&gt;$J$20</formula>
    </cfRule>
  </conditionalFormatting>
  <conditionalFormatting sqref="F20">
    <cfRule type="cellIs" dxfId="302" priority="7" operator="lessThan">
      <formula>$F$21</formula>
    </cfRule>
    <cfRule type="cellIs" dxfId="301" priority="8" operator="greaterThan">
      <formula>$F$21</formula>
    </cfRule>
  </conditionalFormatting>
  <conditionalFormatting sqref="B13">
    <cfRule type="cellIs" dxfId="300" priority="6" operator="greaterThan">
      <formula>120</formula>
    </cfRule>
  </conditionalFormatting>
  <conditionalFormatting sqref="B23">
    <cfRule type="cellIs" dxfId="299" priority="4" operator="notEqual">
      <formula>"OK"</formula>
    </cfRule>
    <cfRule type="cellIs" dxfId="298" priority="5" operator="equal">
      <formula>"OK"</formula>
    </cfRule>
  </conditionalFormatting>
  <conditionalFormatting sqref="F22">
    <cfRule type="cellIs" dxfId="297" priority="1" operator="lessThanOrEqual">
      <formula>$B$10</formula>
    </cfRule>
    <cfRule type="cellIs" dxfId="296" priority="2" operator="greaterThan">
      <formula>$B$10</formula>
    </cfRule>
  </conditionalFormatting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28" r:id="rId4" name="Button 8">
              <controlPr defaultSize="0" print="0" autoFill="0" autoPict="0" macro="[0]!Tbl_Contents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66675</xdr:colOff>
                    <xdr:row>1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73C4C-99FD-46D1-8904-68C6195D32A1}">
  <sheetPr codeName="Sheet47">
    <tabColor theme="1"/>
  </sheetPr>
  <dimension ref="A1:W64"/>
  <sheetViews>
    <sheetView zoomScaleNormal="100" workbookViewId="0">
      <selection activeCell="B4" sqref="B4:D4"/>
    </sheetView>
  </sheetViews>
  <sheetFormatPr defaultRowHeight="15" x14ac:dyDescent="0.25"/>
  <cols>
    <col min="1" max="1" width="20.28515625" customWidth="1"/>
    <col min="2" max="2" width="15.7109375" bestFit="1" customWidth="1"/>
    <col min="3" max="3" width="9.85546875" customWidth="1"/>
    <col min="4" max="4" width="9.28515625" customWidth="1"/>
    <col min="5" max="5" width="13.7109375" customWidth="1"/>
    <col min="6" max="6" width="12.5703125" customWidth="1"/>
    <col min="7" max="7" width="14.28515625" customWidth="1"/>
    <col min="8" max="8" width="9.140625" customWidth="1"/>
    <col min="9" max="9" width="10" customWidth="1"/>
    <col min="10" max="10" width="14.140625" customWidth="1"/>
    <col min="11" max="11" width="8.140625" customWidth="1"/>
    <col min="15" max="15" width="16.28515625" customWidth="1"/>
    <col min="21" max="21" width="12.28515625" customWidth="1"/>
    <col min="24" max="24" width="13.5703125" customWidth="1"/>
  </cols>
  <sheetData>
    <row r="1" spans="1:15" ht="18.75" x14ac:dyDescent="0.3">
      <c r="C1" s="937" t="s">
        <v>0</v>
      </c>
      <c r="D1" s="937"/>
      <c r="E1" s="937"/>
      <c r="F1" s="937"/>
      <c r="G1" s="937"/>
    </row>
    <row r="2" spans="1:15" x14ac:dyDescent="0.25">
      <c r="C2" s="938" t="s">
        <v>76</v>
      </c>
      <c r="D2" s="938"/>
      <c r="E2" s="938"/>
      <c r="F2" s="938"/>
      <c r="G2" s="938"/>
    </row>
    <row r="4" spans="1:15" x14ac:dyDescent="0.25">
      <c r="A4" s="1" t="s">
        <v>1</v>
      </c>
      <c r="B4" s="956" t="str">
        <f>Customer</f>
        <v>ULTRATECH TOOL&amp; DESIGN, INC.</v>
      </c>
      <c r="C4" s="953"/>
      <c r="D4" s="954"/>
    </row>
    <row r="5" spans="1:15" x14ac:dyDescent="0.25">
      <c r="A5" s="1" t="s">
        <v>2</v>
      </c>
      <c r="B5" s="952">
        <f>CalcDate</f>
        <v>0</v>
      </c>
      <c r="C5" s="953"/>
      <c r="D5" s="954"/>
      <c r="E5" s="15"/>
    </row>
    <row r="6" spans="1:15" x14ac:dyDescent="0.25">
      <c r="A6" s="1" t="s">
        <v>3</v>
      </c>
      <c r="B6" s="955">
        <f>Reference</f>
        <v>0</v>
      </c>
      <c r="C6" s="955"/>
      <c r="D6" s="955"/>
      <c r="E6" s="15"/>
    </row>
    <row r="7" spans="1:15" ht="16.149999999999999" customHeight="1" x14ac:dyDescent="0.25">
      <c r="E7" s="25"/>
      <c r="F7" s="25"/>
      <c r="G7" s="25"/>
    </row>
    <row r="8" spans="1:15" ht="14.45" customHeight="1" x14ac:dyDescent="0.25">
      <c r="A8" s="1" t="s">
        <v>49</v>
      </c>
      <c r="B8" s="26" t="str">
        <f>reel_model</f>
        <v>CPR-200</v>
      </c>
      <c r="E8" s="957" t="s">
        <v>65</v>
      </c>
      <c r="F8" s="957"/>
      <c r="G8" s="25"/>
    </row>
    <row r="9" spans="1:15" x14ac:dyDescent="0.25">
      <c r="A9" s="1" t="s">
        <v>63</v>
      </c>
      <c r="B9" s="447" t="str">
        <f>Material_3</f>
        <v>Cold Rolled Steel</v>
      </c>
    </row>
    <row r="10" spans="1:15" x14ac:dyDescent="0.25">
      <c r="A10" s="5" t="s">
        <v>7</v>
      </c>
      <c r="B10" s="438">
        <f>CoilWidth_3</f>
        <v>30</v>
      </c>
      <c r="C10" s="3" t="s">
        <v>4</v>
      </c>
      <c r="E10" s="5" t="s">
        <v>18</v>
      </c>
      <c r="F10" s="742">
        <f>B54</f>
        <v>20000</v>
      </c>
      <c r="G10" s="3" t="s">
        <v>29</v>
      </c>
      <c r="H10" s="904" t="s">
        <v>59</v>
      </c>
      <c r="I10" s="904"/>
      <c r="J10" s="6">
        <v>4</v>
      </c>
      <c r="K10" s="3" t="s">
        <v>4</v>
      </c>
    </row>
    <row r="11" spans="1:15" x14ac:dyDescent="0.25">
      <c r="A11" s="5" t="s">
        <v>6</v>
      </c>
      <c r="B11" s="438">
        <f>Thickness_3</f>
        <v>3.5000000000000003E-2</v>
      </c>
      <c r="C11" s="3" t="s">
        <v>4</v>
      </c>
      <c r="E11" s="5" t="s">
        <v>8</v>
      </c>
      <c r="F11" s="230">
        <f>IF(SQRT(((cw_weight*4)/(VLOOKUP(material,LookupMaterial,4,FALSE)*PI()*width))+(coil_ID^2))&gt;72, 72, SQRT(((cw_weight*4)/(VLOOKUP(material,LookupMaterial,4,FALSE)*PI()*width))+(coil_ID^2)))</f>
        <v>58.304257496773673</v>
      </c>
      <c r="G11" s="3" t="s">
        <v>4</v>
      </c>
      <c r="H11" s="904" t="s">
        <v>58</v>
      </c>
      <c r="I11" s="904"/>
      <c r="J11" s="230">
        <f>VLOOKUP(J17,LookupBrakeType,2,FALSE)</f>
        <v>5</v>
      </c>
      <c r="K11" s="3" t="s">
        <v>4</v>
      </c>
    </row>
    <row r="12" spans="1:15" x14ac:dyDescent="0.25">
      <c r="A12" s="5" t="s">
        <v>57</v>
      </c>
      <c r="B12" s="440">
        <f>YieldStrength_3</f>
        <v>50000</v>
      </c>
      <c r="C12" s="3" t="s">
        <v>11</v>
      </c>
      <c r="E12" s="16" t="s">
        <v>36</v>
      </c>
      <c r="F12" s="743">
        <f>IF(LEFT(hydthd, 2)="22", 22.6, IF(LEFT(hydthd,2)="38", 38, IF(LEFT(hydthd,2)="60", 60, IF(LEFT(hydthd,2)="60", 60,))))</f>
        <v>60</v>
      </c>
      <c r="G12" s="3" t="s">
        <v>10</v>
      </c>
      <c r="H12" s="904" t="s">
        <v>60</v>
      </c>
      <c r="I12" s="904"/>
      <c r="J12" s="224">
        <v>0.6</v>
      </c>
    </row>
    <row r="13" spans="1:15" x14ac:dyDescent="0.25">
      <c r="A13" s="5" t="s">
        <v>55</v>
      </c>
      <c r="B13" s="567">
        <f>'TD,DB,HD (1)'!air_press</f>
        <v>80</v>
      </c>
      <c r="C13" s="3" t="s">
        <v>11</v>
      </c>
      <c r="E13" s="5" t="s">
        <v>39</v>
      </c>
      <c r="F13" s="229">
        <f>(yield/800)</f>
        <v>62.5</v>
      </c>
      <c r="G13" s="3" t="s">
        <v>11</v>
      </c>
    </row>
    <row r="14" spans="1:15" ht="17.25" x14ac:dyDescent="0.25">
      <c r="A14" s="5" t="s">
        <v>56</v>
      </c>
      <c r="B14" s="692">
        <f>'TD,DB,HD (1)'!decel</f>
        <v>1</v>
      </c>
      <c r="C14" s="3" t="s">
        <v>28</v>
      </c>
      <c r="E14" s="5" t="s">
        <v>39</v>
      </c>
      <c r="F14" s="229">
        <f>thk*width*(yield/800)</f>
        <v>65.625</v>
      </c>
      <c r="G14" s="3" t="s">
        <v>40</v>
      </c>
      <c r="O14" s="449"/>
    </row>
    <row r="15" spans="1:15" x14ac:dyDescent="0.25">
      <c r="E15" s="17"/>
      <c r="F15" s="3"/>
      <c r="O15" s="450"/>
    </row>
    <row r="16" spans="1:15" x14ac:dyDescent="0.25">
      <c r="A16" s="923" t="s">
        <v>901</v>
      </c>
      <c r="B16" s="923"/>
      <c r="C16" s="3"/>
      <c r="D16" s="923" t="s">
        <v>74</v>
      </c>
      <c r="E16" s="923"/>
      <c r="F16" s="923"/>
      <c r="G16" s="690" t="s">
        <v>1377</v>
      </c>
      <c r="H16" s="923" t="s">
        <v>54</v>
      </c>
      <c r="I16" s="923"/>
      <c r="J16" s="923"/>
    </row>
    <row r="17" spans="1:12" x14ac:dyDescent="0.25">
      <c r="A17" s="446" t="s">
        <v>50</v>
      </c>
      <c r="B17" s="686" t="str">
        <f>'TD,DB,HD (1)'!B19</f>
        <v>Yes</v>
      </c>
      <c r="C17" s="3"/>
      <c r="D17" s="959" t="s">
        <v>67</v>
      </c>
      <c r="E17" s="960"/>
      <c r="F17" s="686" t="str">
        <f>'TD,DB,HD (1)'!F19</f>
        <v>XD</v>
      </c>
      <c r="G17" s="5" t="str">
        <f>'TD,DB,HD (1)'!G19</f>
        <v>Hydraulic</v>
      </c>
      <c r="H17" s="949" t="s">
        <v>37</v>
      </c>
      <c r="I17" s="949"/>
      <c r="J17" s="950" t="str">
        <f>'TD,DB,HD (1)'!J19</f>
        <v>Failsafe - Double Stage</v>
      </c>
      <c r="K17" s="951"/>
    </row>
    <row r="18" spans="1:12" x14ac:dyDescent="0.25">
      <c r="A18" s="446" t="s">
        <v>5</v>
      </c>
      <c r="B18" s="687" t="str">
        <f>'TD,DB,HD (1)'!B20</f>
        <v>60 cu in (D-13374)</v>
      </c>
      <c r="D18" s="959" t="s">
        <v>69</v>
      </c>
      <c r="E18" s="960"/>
      <c r="F18" s="686">
        <f>'TD,DB,HD (1)'!F20</f>
        <v>750</v>
      </c>
      <c r="G18" s="31" t="str">
        <f>'TD,DB,HD (1)'!G20</f>
        <v>psi Hydraulic</v>
      </c>
      <c r="H18" s="949" t="s">
        <v>38</v>
      </c>
      <c r="I18" s="949"/>
      <c r="J18" s="691">
        <f>'TD,DB,HD (1)'!J20</f>
        <v>1</v>
      </c>
    </row>
    <row r="19" spans="1:12" x14ac:dyDescent="0.25">
      <c r="K19" s="18"/>
    </row>
    <row r="20" spans="1:12" ht="14.45" customHeight="1" x14ac:dyDescent="0.25">
      <c r="A20" s="5" t="s">
        <v>963</v>
      </c>
      <c r="B20" s="530">
        <f>IF(VLOOKUP(TypeOfLine, LookupTypeOfLine, 3, FALSE)="PULLOFF", _xlfn.XLOOKUP(DriveKey, tblDrives[DriveKey], tblDrives[Torque], 0, 0, 1), 'Reel Drive'!TQEMPTY)</f>
        <v>25920</v>
      </c>
      <c r="C20" s="19" t="s">
        <v>41</v>
      </c>
      <c r="D20" s="926" t="s">
        <v>66</v>
      </c>
      <c r="E20" s="926"/>
      <c r="F20" s="530">
        <f>IF(M&lt;My,M/(B53*(coil_ID/2)), IF(M&gt;My, ((width*(thk^2)/4)*yield*((1-((1/3)*((y/(thk/2))^2)))))/(B53*(coil_ID/2))))</f>
        <v>62.148483947681349</v>
      </c>
      <c r="G20" s="20" t="s">
        <v>40</v>
      </c>
      <c r="H20" s="924" t="s">
        <v>53</v>
      </c>
      <c r="I20" s="924"/>
      <c r="J20" s="530">
        <f>(3*decel*cw_weight*((coil_od^2)+(coil_ID^2)))/(386*coil_od)+tension_tor</f>
        <v>12042.355073876839</v>
      </c>
      <c r="K20" s="20" t="s">
        <v>41</v>
      </c>
    </row>
    <row r="21" spans="1:12" x14ac:dyDescent="0.25">
      <c r="A21" s="5" t="s">
        <v>78</v>
      </c>
      <c r="B21" s="530">
        <f>tension*coil_od/2</f>
        <v>1913.1084491128861</v>
      </c>
      <c r="C21" s="19" t="s">
        <v>41</v>
      </c>
      <c r="D21" s="926" t="s">
        <v>68</v>
      </c>
      <c r="E21" s="926"/>
      <c r="F21" s="530">
        <f>_xlfn.XLOOKUP(HolddownMatrixKey, tblHDMatrix[HolddownMatrixKey], tblHDMatrix[ForceFactor], 0, 0, 1)*holddown_pressure</f>
        <v>7881.9749999999995</v>
      </c>
      <c r="G21" s="3" t="s">
        <v>40</v>
      </c>
      <c r="H21" s="926" t="str">
        <f>J17</f>
        <v>Failsafe - Double Stage</v>
      </c>
      <c r="I21" s="926"/>
      <c r="J21" s="708">
        <f>VLOOKUP($J$17,LookupPressRequired,3,FALSE)/brake_qty</f>
        <v>21.730162545071035</v>
      </c>
      <c r="K21" s="927" t="s">
        <v>77</v>
      </c>
      <c r="L21" s="928"/>
    </row>
    <row r="22" spans="1:12" x14ac:dyDescent="0.25">
      <c r="B22" s="21"/>
      <c r="D22" s="920" t="s">
        <v>1418</v>
      </c>
      <c r="E22" s="921"/>
      <c r="F22" s="447">
        <f>_xlfn.XLOOKUP(HolddownMatrixKey, tblHDMatrix[HolddownMatrixKey], tblHDMatrix[MinWidth], 0, 0, 1)</f>
        <v>16.625</v>
      </c>
      <c r="H22" s="920" t="s">
        <v>61</v>
      </c>
      <c r="I22" s="921"/>
      <c r="J22" s="707">
        <f>VLOOKUP($J$17,LookupPressRequired,4,FALSE)*friction*no_brakepads*brake_dist*brake_qty</f>
        <v>34344</v>
      </c>
      <c r="K22" s="20" t="s">
        <v>41</v>
      </c>
    </row>
    <row r="23" spans="1:12" x14ac:dyDescent="0.25">
      <c r="A23" s="60" t="s">
        <v>902</v>
      </c>
      <c r="B23" s="360" t="str">
        <f>IF(VLOOKUP(TypeOfLine, LookupTypeOfLine, 3, FALSE)="PULLOFF", IF(AND($B$21&lt;$B$20,$F$20&lt;$F$21,OR($F$22&lt;$B$10,MinHoldDownConfirmed),$J$21&lt;$B$13, OR($J$22&gt;$J$20,$J$22=0)),"OK", "NOT OK"), "USE MOTORIZED")</f>
        <v>OK</v>
      </c>
      <c r="F23" s="27"/>
    </row>
    <row r="24" spans="1:12" x14ac:dyDescent="0.25">
      <c r="B24" s="22"/>
      <c r="C24" s="22"/>
      <c r="D24" s="2"/>
      <c r="F24" s="536"/>
      <c r="J24" s="41"/>
    </row>
    <row r="25" spans="1:12" x14ac:dyDescent="0.25">
      <c r="B25" s="4"/>
      <c r="C25" s="4"/>
      <c r="D25" s="4"/>
      <c r="F25" s="2"/>
    </row>
    <row r="27" spans="1:12" x14ac:dyDescent="0.25">
      <c r="B27" s="4"/>
      <c r="C27" s="4"/>
      <c r="F27" s="13"/>
    </row>
    <row r="28" spans="1:12" x14ac:dyDescent="0.25">
      <c r="B28" s="4"/>
      <c r="C28" s="4"/>
      <c r="F28" s="13"/>
    </row>
    <row r="29" spans="1:12" x14ac:dyDescent="0.25">
      <c r="B29" s="4"/>
      <c r="C29" s="4"/>
    </row>
    <row r="30" spans="1:12" x14ac:dyDescent="0.25">
      <c r="B30" s="12"/>
      <c r="C30" s="12"/>
    </row>
    <row r="31" spans="1:12" x14ac:dyDescent="0.25">
      <c r="B31" s="12"/>
      <c r="C31" s="12"/>
    </row>
    <row r="42" spans="1:23" hidden="1" x14ac:dyDescent="0.25"/>
    <row r="43" spans="1:23" hidden="1" x14ac:dyDescent="0.25">
      <c r="W43" s="8"/>
    </row>
    <row r="44" spans="1:23" hidden="1" x14ac:dyDescent="0.25">
      <c r="A44" s="2">
        <v>1</v>
      </c>
      <c r="B44" s="2">
        <v>2</v>
      </c>
      <c r="C44" s="2">
        <v>3</v>
      </c>
      <c r="D44" s="2">
        <v>4</v>
      </c>
      <c r="E44" s="2">
        <v>5</v>
      </c>
      <c r="F44" s="2">
        <v>6</v>
      </c>
      <c r="G44" s="2">
        <v>7</v>
      </c>
      <c r="H44" s="2"/>
      <c r="I44" s="2"/>
      <c r="J44" s="2"/>
      <c r="K44" s="2"/>
      <c r="P44" s="2"/>
    </row>
    <row r="45" spans="1:23" hidden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864" t="s">
        <v>21</v>
      </c>
      <c r="M45" s="864"/>
      <c r="N45" s="864"/>
      <c r="O45" s="2">
        <f>VLOOKUP(material, LookupMaterial, 3, FALSE)</f>
        <v>29000000</v>
      </c>
      <c r="P45" s="2"/>
    </row>
    <row r="46" spans="1:23" hidden="1" x14ac:dyDescent="0.25">
      <c r="A46" s="2" t="s">
        <v>15</v>
      </c>
      <c r="B46" s="2" t="s">
        <v>12</v>
      </c>
      <c r="C46" s="2" t="s">
        <v>13</v>
      </c>
      <c r="D46" s="2" t="s">
        <v>19</v>
      </c>
      <c r="E46" s="2" t="s">
        <v>20</v>
      </c>
      <c r="F46" s="2" t="s">
        <v>16</v>
      </c>
      <c r="G46" s="2" t="s">
        <v>17</v>
      </c>
      <c r="H46" s="2"/>
      <c r="I46" s="2"/>
      <c r="J46" s="2"/>
      <c r="K46" s="2"/>
      <c r="L46" s="2"/>
      <c r="M46" s="2"/>
      <c r="N46" s="2"/>
      <c r="O46" s="2"/>
      <c r="P46" s="2"/>
    </row>
    <row r="47" spans="1:23" hidden="1" x14ac:dyDescent="0.25">
      <c r="A47" s="7">
        <v>22.6</v>
      </c>
      <c r="B47" s="7">
        <v>10</v>
      </c>
      <c r="C47" s="7">
        <v>2.9089999999999998</v>
      </c>
      <c r="D47" s="7">
        <v>4.75</v>
      </c>
      <c r="E47" s="7" t="s">
        <v>14</v>
      </c>
      <c r="F47" s="4">
        <v>2.8980000000000001</v>
      </c>
      <c r="G47" s="4">
        <v>3.2360000000000002</v>
      </c>
      <c r="H47" s="2"/>
      <c r="I47" s="2"/>
      <c r="J47" s="2"/>
      <c r="K47" s="2"/>
      <c r="L47" s="925" t="s">
        <v>22</v>
      </c>
      <c r="M47" s="925"/>
      <c r="N47" s="925"/>
      <c r="O47" s="2">
        <f>(mod*width*(thk^3))/(12*(coil_ID/2))</f>
        <v>310.84375000000006</v>
      </c>
      <c r="P47" s="2"/>
    </row>
    <row r="48" spans="1:23" hidden="1" x14ac:dyDescent="0.25">
      <c r="A48" s="7">
        <v>40.6</v>
      </c>
      <c r="B48" s="7">
        <v>10</v>
      </c>
      <c r="C48" s="7">
        <v>2.9</v>
      </c>
      <c r="D48" s="7">
        <v>3.42</v>
      </c>
      <c r="E48" s="7" t="s">
        <v>14</v>
      </c>
      <c r="F48" s="4">
        <v>2.8980000000000001</v>
      </c>
      <c r="G48" s="4">
        <v>3.2360000000000002</v>
      </c>
      <c r="H48" s="2"/>
      <c r="I48" s="2"/>
      <c r="J48" s="2"/>
      <c r="K48" s="2"/>
      <c r="L48" s="925" t="s">
        <v>23</v>
      </c>
      <c r="M48" s="925"/>
      <c r="N48" s="925"/>
      <c r="O48" s="2">
        <f>(width*(thk^2)*yield)/6</f>
        <v>306.25000000000006</v>
      </c>
      <c r="P48" s="2"/>
    </row>
    <row r="49" spans="1:18" hidden="1" x14ac:dyDescent="0.25">
      <c r="A49" s="7">
        <v>57.4</v>
      </c>
      <c r="B49" s="7">
        <v>14.75</v>
      </c>
      <c r="C49" s="7">
        <v>3.8</v>
      </c>
      <c r="D49" s="7">
        <v>6.9089999999999998</v>
      </c>
      <c r="E49" s="7">
        <v>2.9</v>
      </c>
      <c r="F49" s="4">
        <v>3.2360000000000002</v>
      </c>
      <c r="G49" s="4">
        <v>4.4370000000000003</v>
      </c>
      <c r="H49" s="2"/>
      <c r="I49" s="2"/>
      <c r="J49" s="2"/>
      <c r="K49" s="30"/>
      <c r="L49" s="2"/>
      <c r="M49" s="2"/>
      <c r="N49" s="2"/>
      <c r="O49" s="2"/>
      <c r="P49" s="2"/>
    </row>
    <row r="50" spans="1:18" hidden="1" x14ac:dyDescent="0.25">
      <c r="A50" s="7">
        <v>60</v>
      </c>
      <c r="B50" s="7">
        <v>11.85</v>
      </c>
      <c r="C50" s="7">
        <v>4.2300000000000004</v>
      </c>
      <c r="D50" s="7">
        <v>6.9089999999999998</v>
      </c>
      <c r="E50" s="7" t="s">
        <v>14</v>
      </c>
      <c r="F50" s="4">
        <v>2.8980000000000001</v>
      </c>
      <c r="G50" s="4">
        <v>3.2360000000000002</v>
      </c>
      <c r="H50" s="2"/>
      <c r="I50" s="2"/>
      <c r="J50" s="2"/>
      <c r="K50" s="30"/>
      <c r="L50" s="2"/>
      <c r="O50" s="2"/>
      <c r="P50" s="2"/>
    </row>
    <row r="51" spans="1:18" hidden="1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30"/>
      <c r="L51" s="2"/>
      <c r="M51" s="2" t="s">
        <v>30</v>
      </c>
      <c r="N51" s="2">
        <f>(thk*(coil_ID/2))/(2*((thk*mod)/(2*yield)))</f>
        <v>1.7241379310344827E-2</v>
      </c>
      <c r="O51" s="2"/>
      <c r="P51" s="2"/>
    </row>
    <row r="52" spans="1:18" hidden="1" x14ac:dyDescent="0.25">
      <c r="A52" s="5" t="s">
        <v>9</v>
      </c>
      <c r="B52" s="9">
        <f>CoilID_3</f>
        <v>20</v>
      </c>
      <c r="C52" s="3" t="s">
        <v>4</v>
      </c>
      <c r="D52" s="948" t="s">
        <v>25</v>
      </c>
      <c r="E52" s="948"/>
      <c r="F52" s="10">
        <v>12</v>
      </c>
      <c r="G52" s="3" t="s">
        <v>4</v>
      </c>
      <c r="H52" s="2"/>
      <c r="I52" s="2"/>
      <c r="J52" s="14" t="s">
        <v>31</v>
      </c>
      <c r="K52" s="28">
        <f>tension_tor*(coil_od/2)</f>
        <v>55771.183818165518</v>
      </c>
      <c r="L52" s="2"/>
      <c r="M52" s="2"/>
      <c r="N52" s="2"/>
      <c r="O52" s="2"/>
      <c r="P52" s="2"/>
    </row>
    <row r="53" spans="1:18" hidden="1" x14ac:dyDescent="0.25">
      <c r="A53" s="5" t="s">
        <v>62</v>
      </c>
      <c r="B53" s="9">
        <v>0.5</v>
      </c>
      <c r="D53" s="948" t="s">
        <v>27</v>
      </c>
      <c r="E53" s="948"/>
      <c r="F53" s="6">
        <v>1</v>
      </c>
      <c r="G53" s="3" t="s">
        <v>4</v>
      </c>
      <c r="H53" s="2"/>
      <c r="I53" s="2"/>
      <c r="J53" s="2"/>
      <c r="K53" s="30"/>
      <c r="L53" s="2"/>
      <c r="M53" s="2"/>
      <c r="N53" s="2"/>
      <c r="O53" s="2"/>
      <c r="P53" s="2"/>
      <c r="R53">
        <f>(friction*(PI()*((brake_paddia/2)^2)*air_press)*(0.965*brake_dist))</f>
        <v>6984.8914422854023</v>
      </c>
    </row>
    <row r="54" spans="1:18" hidden="1" x14ac:dyDescent="0.25">
      <c r="A54" t="s">
        <v>18</v>
      </c>
      <c r="B54">
        <f>IF((((72^2)-(coil_ID^2))/4*PI()*width*(VLOOKUP(material,LookupMaterial,4,FALSE)))&lt;VLOOKUP(reel_model, LookupReels,2,FALSE), (((72^2)-(coil_ID^2))/4*PI()*width*(VLOOKUP(material,LookupMaterial,4,FALSE))), VLOOKUP(reel_model, LookupReels,2))</f>
        <v>20000</v>
      </c>
      <c r="D54" s="948" t="s">
        <v>26</v>
      </c>
      <c r="E54" s="948"/>
      <c r="F54" s="11">
        <v>2</v>
      </c>
      <c r="G54" s="3"/>
      <c r="K54" s="29"/>
    </row>
    <row r="55" spans="1:18" hidden="1" x14ac:dyDescent="0.25">
      <c r="K55" s="29"/>
      <c r="P55" s="29"/>
    </row>
    <row r="56" spans="1:18" hidden="1" x14ac:dyDescent="0.25">
      <c r="K56" s="29"/>
      <c r="M56" s="2"/>
      <c r="P56" s="29"/>
    </row>
    <row r="57" spans="1:18" hidden="1" x14ac:dyDescent="0.25">
      <c r="B57" s="60" t="s">
        <v>997</v>
      </c>
      <c r="C57" s="564"/>
      <c r="D57" s="564" t="s">
        <v>24</v>
      </c>
      <c r="E57" s="567" t="s">
        <v>995</v>
      </c>
      <c r="K57" s="29"/>
      <c r="P57" s="29"/>
    </row>
    <row r="58" spans="1:18" hidden="1" x14ac:dyDescent="0.25">
      <c r="B58" s="560" t="s">
        <v>32</v>
      </c>
      <c r="C58" s="561"/>
      <c r="D58" s="562">
        <f>(4*$J$20)/(PI()*friction*brake_dist*no_brakepads*cyl_bore^2)</f>
        <v>42.591118588339228</v>
      </c>
      <c r="E58" s="563">
        <v>0</v>
      </c>
      <c r="J58" s="566" t="s">
        <v>998</v>
      </c>
      <c r="K58" s="29" t="s">
        <v>75</v>
      </c>
      <c r="P58" s="29"/>
    </row>
    <row r="59" spans="1:18" hidden="1" x14ac:dyDescent="0.25">
      <c r="B59" s="560" t="s">
        <v>33</v>
      </c>
      <c r="C59" s="561"/>
      <c r="D59" s="562">
        <f>(4*$J$20)/(PI()*friction*brake_dist*no_brakepads*(2*cyl_bore^2-cyl_rod^2))</f>
        <v>21.730162545071035</v>
      </c>
      <c r="E59" s="563">
        <v>0</v>
      </c>
    </row>
    <row r="60" spans="1:18" hidden="1" x14ac:dyDescent="0.25">
      <c r="B60" s="560" t="s">
        <v>34</v>
      </c>
      <c r="C60" s="561"/>
      <c r="D60" s="562">
        <f>(4*$J$20)/(PI()*friction*brake_dist*no_brakepads*(3*cyl_bore^2-2*cyl_rod^2))</f>
        <v>14.585999516554532</v>
      </c>
      <c r="E60" s="563">
        <v>0</v>
      </c>
    </row>
    <row r="61" spans="1:18" hidden="1" x14ac:dyDescent="0.25">
      <c r="B61" s="560" t="s">
        <v>959</v>
      </c>
      <c r="C61" s="564"/>
      <c r="D61" s="562">
        <f>(4*$J$20)/(PI()*friction*brake_dist*no_brakepads*cyl_bore^2)</f>
        <v>42.591118588339228</v>
      </c>
      <c r="E61" s="563">
        <v>1000</v>
      </c>
    </row>
    <row r="62" spans="1:18" hidden="1" x14ac:dyDescent="0.25">
      <c r="B62" s="560" t="s">
        <v>35</v>
      </c>
      <c r="C62" s="564"/>
      <c r="D62" s="562">
        <f>(4*$J$20)/(PI()*friction*brake_dist*no_brakepads*(2*cyl_bore^2-cyl_rod^2))</f>
        <v>21.730162545071035</v>
      </c>
      <c r="E62" s="563">
        <v>2385</v>
      </c>
    </row>
    <row r="63" spans="1:18" hidden="1" x14ac:dyDescent="0.25"/>
    <row r="64" spans="1:18" hidden="1" x14ac:dyDescent="0.25"/>
  </sheetData>
  <sheetProtection algorithmName="SHA-512" hashValue="WxL2b8uBA58l9wKBJGUwF3RIr/lD2IGM8wO0jnvgw9Hup8k06wKB2mDeaHizH28bP4DzW82thnf1C50PM5tbaQ==" saltValue="5CPpFTAzqEzOY3nkIsluKQ==" spinCount="100000" sheet="1" objects="1" scenarios="1"/>
  <mergeCells count="30">
    <mergeCell ref="J17:K17"/>
    <mergeCell ref="E8:F8"/>
    <mergeCell ref="C1:G1"/>
    <mergeCell ref="C2:G2"/>
    <mergeCell ref="B4:D4"/>
    <mergeCell ref="B5:D5"/>
    <mergeCell ref="B6:D6"/>
    <mergeCell ref="H10:I10"/>
    <mergeCell ref="H11:I11"/>
    <mergeCell ref="H12:I12"/>
    <mergeCell ref="A16:B16"/>
    <mergeCell ref="D16:F16"/>
    <mergeCell ref="H16:J16"/>
    <mergeCell ref="D17:E17"/>
    <mergeCell ref="H17:I17"/>
    <mergeCell ref="D18:E18"/>
    <mergeCell ref="H18:I18"/>
    <mergeCell ref="D20:E20"/>
    <mergeCell ref="H20:I20"/>
    <mergeCell ref="L48:N48"/>
    <mergeCell ref="K21:L21"/>
    <mergeCell ref="L45:N45"/>
    <mergeCell ref="L47:N47"/>
    <mergeCell ref="D52:E52"/>
    <mergeCell ref="D53:E53"/>
    <mergeCell ref="D54:E54"/>
    <mergeCell ref="D21:E21"/>
    <mergeCell ref="H21:I21"/>
    <mergeCell ref="H22:I22"/>
    <mergeCell ref="D22:E22"/>
  </mergeCells>
  <conditionalFormatting sqref="B30:B31">
    <cfRule type="cellIs" dxfId="295" priority="17" stopIfTrue="1" operator="lessThan">
      <formula>$C$31</formula>
    </cfRule>
    <cfRule type="cellIs" dxfId="294" priority="18" stopIfTrue="1" operator="greaterThan">
      <formula>$C$31</formula>
    </cfRule>
  </conditionalFormatting>
  <conditionalFormatting sqref="C30">
    <cfRule type="cellIs" dxfId="293" priority="15" stopIfTrue="1" operator="greaterThan">
      <formula>$B$30</formula>
    </cfRule>
    <cfRule type="cellIs" dxfId="292" priority="16" stopIfTrue="1" operator="lessThan">
      <formula>$B$30</formula>
    </cfRule>
  </conditionalFormatting>
  <conditionalFormatting sqref="C31">
    <cfRule type="cellIs" dxfId="291" priority="13" stopIfTrue="1" operator="greaterThan">
      <formula>$B$31</formula>
    </cfRule>
    <cfRule type="cellIs" dxfId="290" priority="14" stopIfTrue="1" operator="lessThan">
      <formula>$B$31</formula>
    </cfRule>
  </conditionalFormatting>
  <conditionalFormatting sqref="J21">
    <cfRule type="cellIs" dxfId="289" priority="19" stopIfTrue="1" operator="lessThan">
      <formula>$B$13</formula>
    </cfRule>
    <cfRule type="cellIs" dxfId="288" priority="20" stopIfTrue="1" operator="greaterThan">
      <formula>$B$13</formula>
    </cfRule>
  </conditionalFormatting>
  <conditionalFormatting sqref="B21">
    <cfRule type="cellIs" dxfId="287" priority="11" operator="lessThan">
      <formula>$B$20</formula>
    </cfRule>
    <cfRule type="cellIs" dxfId="286" priority="12" operator="greaterThan">
      <formula>$B$20</formula>
    </cfRule>
  </conditionalFormatting>
  <conditionalFormatting sqref="J22">
    <cfRule type="expression" dxfId="285" priority="9">
      <formula>$J$22&lt;$J$20</formula>
    </cfRule>
    <cfRule type="expression" dxfId="284" priority="10">
      <formula>$J$22&gt;$J$20</formula>
    </cfRule>
  </conditionalFormatting>
  <conditionalFormatting sqref="F20">
    <cfRule type="cellIs" dxfId="283" priority="7" operator="lessThan">
      <formula>$F$21</formula>
    </cfRule>
    <cfRule type="cellIs" dxfId="282" priority="8" operator="greaterThan">
      <formula>$F$21</formula>
    </cfRule>
  </conditionalFormatting>
  <conditionalFormatting sqref="B13">
    <cfRule type="cellIs" dxfId="281" priority="6" operator="greaterThan">
      <formula>120</formula>
    </cfRule>
  </conditionalFormatting>
  <conditionalFormatting sqref="B23">
    <cfRule type="cellIs" dxfId="280" priority="4" operator="notEqual">
      <formula>"OK"</formula>
    </cfRule>
    <cfRule type="cellIs" dxfId="279" priority="5" operator="equal">
      <formula>"OK"</formula>
    </cfRule>
  </conditionalFormatting>
  <conditionalFormatting sqref="F22">
    <cfRule type="cellIs" dxfId="278" priority="1" operator="lessThanOrEqual">
      <formula>$B$10</formula>
    </cfRule>
    <cfRule type="cellIs" dxfId="277" priority="2" operator="greaterThan">
      <formula>$B$10</formula>
    </cfRule>
  </conditionalFormatting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5409" r:id="rId4" name="Button 1">
              <controlPr defaultSize="0" print="0" autoFill="0" autoPict="0" macro="[0]!Tbl_Contents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66675</xdr:colOff>
                    <xdr:row>1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EF3379-7852-4ED7-9C7F-8170EED4BE38}">
  <sheetPr codeName="Sheet52">
    <tabColor theme="1"/>
  </sheetPr>
  <dimension ref="A1:W64"/>
  <sheetViews>
    <sheetView zoomScaleNormal="100" workbookViewId="0">
      <selection activeCell="B23" sqref="B23"/>
    </sheetView>
  </sheetViews>
  <sheetFormatPr defaultRowHeight="15" x14ac:dyDescent="0.25"/>
  <cols>
    <col min="1" max="1" width="20.28515625" customWidth="1"/>
    <col min="2" max="2" width="15.7109375" bestFit="1" customWidth="1"/>
    <col min="3" max="3" width="9.85546875" customWidth="1"/>
    <col min="4" max="4" width="9.28515625" customWidth="1"/>
    <col min="5" max="5" width="13.7109375" customWidth="1"/>
    <col min="6" max="6" width="12.5703125" customWidth="1"/>
    <col min="7" max="7" width="14.28515625" customWidth="1"/>
    <col min="8" max="8" width="9.140625" customWidth="1"/>
    <col min="9" max="9" width="10" customWidth="1"/>
    <col min="10" max="10" width="14.140625" customWidth="1"/>
    <col min="11" max="11" width="8.140625" customWidth="1"/>
    <col min="15" max="15" width="16.28515625" customWidth="1"/>
    <col min="21" max="21" width="12.28515625" customWidth="1"/>
    <col min="24" max="24" width="13.5703125" customWidth="1"/>
  </cols>
  <sheetData>
    <row r="1" spans="1:15" ht="18.75" x14ac:dyDescent="0.3">
      <c r="C1" s="937" t="s">
        <v>0</v>
      </c>
      <c r="D1" s="937"/>
      <c r="E1" s="937"/>
      <c r="F1" s="937"/>
      <c r="G1" s="937"/>
    </row>
    <row r="2" spans="1:15" x14ac:dyDescent="0.25">
      <c r="C2" s="938" t="s">
        <v>76</v>
      </c>
      <c r="D2" s="938"/>
      <c r="E2" s="938"/>
      <c r="F2" s="938"/>
      <c r="G2" s="938"/>
    </row>
    <row r="4" spans="1:15" x14ac:dyDescent="0.25">
      <c r="A4" s="1" t="s">
        <v>1</v>
      </c>
      <c r="B4" s="956" t="str">
        <f>Customer</f>
        <v>ULTRATECH TOOL&amp; DESIGN, INC.</v>
      </c>
      <c r="C4" s="953"/>
      <c r="D4" s="954"/>
    </row>
    <row r="5" spans="1:15" x14ac:dyDescent="0.25">
      <c r="A5" s="1" t="s">
        <v>2</v>
      </c>
      <c r="B5" s="952">
        <f>CalcDate</f>
        <v>0</v>
      </c>
      <c r="C5" s="953"/>
      <c r="D5" s="954"/>
      <c r="E5" s="15"/>
    </row>
    <row r="6" spans="1:15" x14ac:dyDescent="0.25">
      <c r="A6" s="1" t="s">
        <v>3</v>
      </c>
      <c r="B6" s="955">
        <f>Reference</f>
        <v>0</v>
      </c>
      <c r="C6" s="955"/>
      <c r="D6" s="955"/>
      <c r="E6" s="15"/>
    </row>
    <row r="7" spans="1:15" ht="16.149999999999999" customHeight="1" x14ac:dyDescent="0.25">
      <c r="E7" s="25"/>
      <c r="F7" s="25"/>
      <c r="G7" s="25"/>
    </row>
    <row r="8" spans="1:15" ht="14.45" customHeight="1" x14ac:dyDescent="0.25">
      <c r="A8" s="1" t="s">
        <v>49</v>
      </c>
      <c r="B8" s="26" t="str">
        <f>reel_model</f>
        <v>CPR-200</v>
      </c>
      <c r="E8" s="957" t="s">
        <v>65</v>
      </c>
      <c r="F8" s="957"/>
      <c r="G8" s="25"/>
    </row>
    <row r="9" spans="1:15" x14ac:dyDescent="0.25">
      <c r="A9" s="1" t="s">
        <v>63</v>
      </c>
      <c r="B9" s="447" t="str">
        <f>Material_4</f>
        <v>HS Steel</v>
      </c>
    </row>
    <row r="10" spans="1:15" x14ac:dyDescent="0.25">
      <c r="A10" s="5" t="s">
        <v>7</v>
      </c>
      <c r="B10" s="438">
        <f>CoilWidth_4</f>
        <v>42</v>
      </c>
      <c r="C10" s="3" t="s">
        <v>4</v>
      </c>
      <c r="E10" s="5" t="s">
        <v>18</v>
      </c>
      <c r="F10" s="742">
        <f>B54</f>
        <v>20000</v>
      </c>
      <c r="G10" s="3" t="s">
        <v>29</v>
      </c>
      <c r="H10" s="904" t="s">
        <v>59</v>
      </c>
      <c r="I10" s="904"/>
      <c r="J10" s="6">
        <v>4</v>
      </c>
      <c r="K10" s="3" t="s">
        <v>4</v>
      </c>
    </row>
    <row r="11" spans="1:15" x14ac:dyDescent="0.25">
      <c r="A11" s="5" t="s">
        <v>6</v>
      </c>
      <c r="B11" s="438">
        <f>Thickness_4</f>
        <v>0.06</v>
      </c>
      <c r="C11" s="3" t="s">
        <v>4</v>
      </c>
      <c r="E11" s="5" t="s">
        <v>8</v>
      </c>
      <c r="F11" s="230">
        <f>IF(SQRT(((cw_weight*4)/(VLOOKUP(material,LookupMaterial,4,FALSE)*PI()*width))+(coil_ID^2))&gt;72, 72, SQRT(((cw_weight*4)/(VLOOKUP(material,LookupMaterial,4,FALSE)*PI()*width))+(coil_ID^2)))</f>
        <v>50.422404616613555</v>
      </c>
      <c r="G11" s="3" t="s">
        <v>4</v>
      </c>
      <c r="H11" s="904" t="s">
        <v>58</v>
      </c>
      <c r="I11" s="904"/>
      <c r="J11" s="6">
        <f>VLOOKUP(J17,LookupBrakeType,2,FALSE)</f>
        <v>5</v>
      </c>
      <c r="K11" s="3" t="s">
        <v>4</v>
      </c>
    </row>
    <row r="12" spans="1:15" x14ac:dyDescent="0.25">
      <c r="A12" s="5" t="s">
        <v>57</v>
      </c>
      <c r="B12" s="440">
        <f>YieldStrength_4</f>
        <v>30000</v>
      </c>
      <c r="C12" s="3" t="s">
        <v>11</v>
      </c>
      <c r="E12" s="16" t="s">
        <v>36</v>
      </c>
      <c r="F12" s="743">
        <f>IF(LEFT(hydthd, 2)="22", 22.6, IF(LEFT(hydthd,2)="38", 38, IF(LEFT(hydthd,2)="60", 60, IF(LEFT(hydthd,2)="60", 60,))))</f>
        <v>60</v>
      </c>
      <c r="G12" s="3" t="s">
        <v>10</v>
      </c>
      <c r="H12" s="904" t="s">
        <v>60</v>
      </c>
      <c r="I12" s="904"/>
      <c r="J12" s="14">
        <v>0.6</v>
      </c>
    </row>
    <row r="13" spans="1:15" x14ac:dyDescent="0.25">
      <c r="A13" s="5" t="s">
        <v>55</v>
      </c>
      <c r="B13" s="567">
        <f>'TD,DB,HD (1)'!air_press</f>
        <v>80</v>
      </c>
      <c r="C13" s="3" t="s">
        <v>11</v>
      </c>
      <c r="E13" s="5" t="s">
        <v>39</v>
      </c>
      <c r="F13" s="229">
        <f>(yield/800)</f>
        <v>37.5</v>
      </c>
      <c r="G13" s="3" t="s">
        <v>11</v>
      </c>
    </row>
    <row r="14" spans="1:15" ht="17.25" x14ac:dyDescent="0.25">
      <c r="A14" s="5" t="s">
        <v>56</v>
      </c>
      <c r="B14" s="692">
        <f>'TD,DB,HD (1)'!decel</f>
        <v>1</v>
      </c>
      <c r="C14" s="3" t="s">
        <v>28</v>
      </c>
      <c r="E14" s="5" t="s">
        <v>39</v>
      </c>
      <c r="F14" s="229">
        <f>thk*width*(yield/800)</f>
        <v>94.5</v>
      </c>
      <c r="G14" s="3" t="s">
        <v>40</v>
      </c>
      <c r="O14" s="449"/>
    </row>
    <row r="15" spans="1:15" x14ac:dyDescent="0.25">
      <c r="E15" s="17"/>
      <c r="F15" s="3"/>
      <c r="O15" s="450"/>
    </row>
    <row r="16" spans="1:15" x14ac:dyDescent="0.25">
      <c r="A16" s="923" t="s">
        <v>901</v>
      </c>
      <c r="B16" s="923"/>
      <c r="C16" s="3"/>
      <c r="D16" s="923" t="s">
        <v>74</v>
      </c>
      <c r="E16" s="923"/>
      <c r="F16" s="923"/>
      <c r="G16" s="690" t="s">
        <v>1377</v>
      </c>
      <c r="H16" s="923" t="s">
        <v>54</v>
      </c>
      <c r="I16" s="923"/>
      <c r="J16" s="923"/>
    </row>
    <row r="17" spans="1:12" x14ac:dyDescent="0.25">
      <c r="A17" s="446" t="s">
        <v>50</v>
      </c>
      <c r="B17" s="686" t="str">
        <f>'TD,DB,HD (1)'!B19</f>
        <v>Yes</v>
      </c>
      <c r="C17" s="3"/>
      <c r="D17" s="959" t="s">
        <v>67</v>
      </c>
      <c r="E17" s="960"/>
      <c r="F17" s="686" t="str">
        <f>'TD,DB,HD (1)'!F19</f>
        <v>XD</v>
      </c>
      <c r="G17" s="5" t="str">
        <f>'TD,DB,HD (1)'!G19</f>
        <v>Hydraulic</v>
      </c>
      <c r="H17" s="949" t="s">
        <v>37</v>
      </c>
      <c r="I17" s="949"/>
      <c r="J17" s="950" t="str">
        <f>'TD,DB,HD (1)'!J19</f>
        <v>Failsafe - Double Stage</v>
      </c>
      <c r="K17" s="951"/>
    </row>
    <row r="18" spans="1:12" x14ac:dyDescent="0.25">
      <c r="A18" s="446" t="s">
        <v>5</v>
      </c>
      <c r="B18" s="687" t="str">
        <f>'TD,DB,HD (1)'!B20</f>
        <v>60 cu in (D-13374)</v>
      </c>
      <c r="D18" s="959" t="s">
        <v>69</v>
      </c>
      <c r="E18" s="960"/>
      <c r="F18" s="686">
        <f>'TD,DB,HD (1)'!F20</f>
        <v>750</v>
      </c>
      <c r="G18" s="31" t="str">
        <f>'TD,DB,HD (1)'!G20</f>
        <v>psi Hydraulic</v>
      </c>
      <c r="H18" s="949" t="s">
        <v>38</v>
      </c>
      <c r="I18" s="949"/>
      <c r="J18" s="691">
        <f>'TD,DB,HD (1)'!J20</f>
        <v>1</v>
      </c>
    </row>
    <row r="19" spans="1:12" x14ac:dyDescent="0.25">
      <c r="K19" s="18"/>
    </row>
    <row r="20" spans="1:12" ht="14.45" customHeight="1" x14ac:dyDescent="0.25">
      <c r="A20" s="5" t="s">
        <v>963</v>
      </c>
      <c r="B20" s="530">
        <f>IF(VLOOKUP(TypeOfLine, LookupTypeOfLine, 3, FALSE)="PULLOFF", _xlfn.XLOOKUP(DriveKey, tblDrives[DriveKey], tblDrives[Torque], 0, 0, 1), 'Reel Drive'!TQEMPTY)</f>
        <v>25920</v>
      </c>
      <c r="C20" s="19" t="s">
        <v>41</v>
      </c>
      <c r="D20" s="926" t="s">
        <v>66</v>
      </c>
      <c r="E20" s="926"/>
      <c r="F20" s="530">
        <f>IF(M&lt;My,M/(B53*(coil_ID/2)), IF(M&gt;My, ((width*(thk^2)/4)*yield*((1-((1/3)*((y/(thk/2))^2)))))/(B53*(coil_ID/2))))</f>
        <v>217.81070154577884</v>
      </c>
      <c r="G20" s="20" t="s">
        <v>40</v>
      </c>
      <c r="H20" s="924" t="s">
        <v>53</v>
      </c>
      <c r="I20" s="924"/>
      <c r="J20" s="530">
        <f>(3*decel*cw_weight*((coil_od^2)+(coil_ID^2)))/(386*coil_od)+tension_tor</f>
        <v>11453.244015586108</v>
      </c>
      <c r="K20" s="20" t="s">
        <v>41</v>
      </c>
    </row>
    <row r="21" spans="1:12" x14ac:dyDescent="0.25">
      <c r="A21" s="5" t="s">
        <v>78</v>
      </c>
      <c r="B21" s="530">
        <f>tension*coil_od/2</f>
        <v>2382.4586181349905</v>
      </c>
      <c r="C21" s="19" t="s">
        <v>41</v>
      </c>
      <c r="D21" s="926" t="s">
        <v>68</v>
      </c>
      <c r="E21" s="926"/>
      <c r="F21" s="530">
        <f>_xlfn.XLOOKUP(HolddownMatrixKey, tblHDMatrix[HolddownMatrixKey], tblHDMatrix[ForceFactor], 0, 0, 1)*holddown_pressure</f>
        <v>7881.9749999999995</v>
      </c>
      <c r="G21" s="3" t="s">
        <v>40</v>
      </c>
      <c r="H21" s="926" t="str">
        <f>J17</f>
        <v>Failsafe - Double Stage</v>
      </c>
      <c r="I21" s="926"/>
      <c r="J21" s="708">
        <f>VLOOKUP($J$17,LookupPressRequired,3,FALSE)/brake_qty</f>
        <v>20.667124711090679</v>
      </c>
      <c r="K21" s="927" t="s">
        <v>77</v>
      </c>
      <c r="L21" s="928"/>
    </row>
    <row r="22" spans="1:12" x14ac:dyDescent="0.25">
      <c r="B22" s="21"/>
      <c r="D22" s="920" t="s">
        <v>1418</v>
      </c>
      <c r="E22" s="921"/>
      <c r="F22" s="447">
        <f>_xlfn.XLOOKUP(HolddownMatrixKey, tblHDMatrix[HolddownMatrixKey], tblHDMatrix[MinWidth], 0, 0, 1)</f>
        <v>16.625</v>
      </c>
      <c r="H22" s="920" t="s">
        <v>61</v>
      </c>
      <c r="I22" s="921"/>
      <c r="J22" s="707">
        <f>VLOOKUP($J$17,LookupPressRequired,4,FALSE)*friction*no_brakepads*brake_dist*brake_qty</f>
        <v>34344</v>
      </c>
      <c r="K22" s="20" t="s">
        <v>41</v>
      </c>
    </row>
    <row r="23" spans="1:12" x14ac:dyDescent="0.25">
      <c r="A23" s="60" t="s">
        <v>902</v>
      </c>
      <c r="B23" s="360" t="str">
        <f>IF(VLOOKUP(TypeOfLine, LookupTypeOfLine, 3, FALSE)="PULLOFF", IF(AND($B$21&lt;$B$20,$F$20&lt;$F$21,OR($F$22&lt;$B$10,MinHoldDownConfirmed),$J$21&lt;$B$13, OR($J$22&gt;$J$20,$J$22=0)),"OK", "NOT OK"), "USE MOTORIZED")</f>
        <v>OK</v>
      </c>
      <c r="F23" s="27"/>
    </row>
    <row r="24" spans="1:12" x14ac:dyDescent="0.25">
      <c r="B24" s="22"/>
      <c r="C24" s="22"/>
      <c r="D24" s="2"/>
      <c r="F24" s="536"/>
      <c r="J24" s="41"/>
    </row>
    <row r="25" spans="1:12" x14ac:dyDescent="0.25">
      <c r="B25" s="4"/>
      <c r="C25" s="4"/>
      <c r="D25" s="4"/>
      <c r="F25" s="2"/>
    </row>
    <row r="27" spans="1:12" x14ac:dyDescent="0.25">
      <c r="B27" s="4"/>
      <c r="C27" s="4"/>
      <c r="F27" s="13"/>
    </row>
    <row r="28" spans="1:12" x14ac:dyDescent="0.25">
      <c r="B28" s="4"/>
      <c r="C28" s="4"/>
      <c r="F28" s="13"/>
    </row>
    <row r="29" spans="1:12" x14ac:dyDescent="0.25">
      <c r="B29" s="4"/>
      <c r="C29" s="4"/>
    </row>
    <row r="30" spans="1:12" x14ac:dyDescent="0.25">
      <c r="B30" s="12"/>
      <c r="C30" s="12"/>
    </row>
    <row r="31" spans="1:12" x14ac:dyDescent="0.25">
      <c r="B31" s="12"/>
      <c r="C31" s="12"/>
    </row>
    <row r="42" spans="1:23" hidden="1" x14ac:dyDescent="0.25"/>
    <row r="43" spans="1:23" hidden="1" x14ac:dyDescent="0.25">
      <c r="W43" s="8"/>
    </row>
    <row r="44" spans="1:23" hidden="1" x14ac:dyDescent="0.25">
      <c r="A44" s="2">
        <v>1</v>
      </c>
      <c r="B44" s="2">
        <v>2</v>
      </c>
      <c r="C44" s="2">
        <v>3</v>
      </c>
      <c r="D44" s="2">
        <v>4</v>
      </c>
      <c r="E44" s="2">
        <v>5</v>
      </c>
      <c r="F44" s="2">
        <v>6</v>
      </c>
      <c r="G44" s="2">
        <v>7</v>
      </c>
      <c r="H44" s="2"/>
      <c r="I44" s="2"/>
      <c r="J44" s="2"/>
      <c r="K44" s="2"/>
      <c r="P44" s="2"/>
    </row>
    <row r="45" spans="1:23" hidden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864" t="s">
        <v>21</v>
      </c>
      <c r="M45" s="864"/>
      <c r="N45" s="864"/>
      <c r="O45" s="2">
        <f>VLOOKUP(material, LookupMaterial, 3, FALSE)</f>
        <v>29000000</v>
      </c>
      <c r="P45" s="2"/>
    </row>
    <row r="46" spans="1:23" hidden="1" x14ac:dyDescent="0.25">
      <c r="A46" s="2" t="s">
        <v>15</v>
      </c>
      <c r="B46" s="2" t="s">
        <v>12</v>
      </c>
      <c r="C46" s="2" t="s">
        <v>13</v>
      </c>
      <c r="D46" s="2" t="s">
        <v>19</v>
      </c>
      <c r="E46" s="2" t="s">
        <v>20</v>
      </c>
      <c r="F46" s="2" t="s">
        <v>16</v>
      </c>
      <c r="G46" s="2" t="s">
        <v>17</v>
      </c>
      <c r="H46" s="2"/>
      <c r="I46" s="2"/>
      <c r="J46" s="2"/>
      <c r="K46" s="2"/>
      <c r="L46" s="2"/>
      <c r="M46" s="2"/>
      <c r="N46" s="2"/>
      <c r="O46" s="2"/>
      <c r="P46" s="2"/>
    </row>
    <row r="47" spans="1:23" hidden="1" x14ac:dyDescent="0.25">
      <c r="A47" s="7">
        <v>22.6</v>
      </c>
      <c r="B47" s="7">
        <v>10</v>
      </c>
      <c r="C47" s="7">
        <v>2.9089999999999998</v>
      </c>
      <c r="D47" s="7">
        <v>4.75</v>
      </c>
      <c r="E47" s="7" t="s">
        <v>14</v>
      </c>
      <c r="F47" s="4">
        <v>2.8980000000000001</v>
      </c>
      <c r="G47" s="4">
        <v>3.2360000000000002</v>
      </c>
      <c r="H47" s="2"/>
      <c r="I47" s="2"/>
      <c r="J47" s="2"/>
      <c r="K47" s="2"/>
      <c r="L47" s="925" t="s">
        <v>22</v>
      </c>
      <c r="M47" s="925"/>
      <c r="N47" s="925"/>
      <c r="O47" s="2">
        <f>(mod*width*(thk^3))/(12*(coil_ID/2))</f>
        <v>2192.4</v>
      </c>
      <c r="P47" s="2"/>
    </row>
    <row r="48" spans="1:23" hidden="1" x14ac:dyDescent="0.25">
      <c r="A48" s="7">
        <v>40.6</v>
      </c>
      <c r="B48" s="7">
        <v>10</v>
      </c>
      <c r="C48" s="7">
        <v>2.9</v>
      </c>
      <c r="D48" s="7">
        <v>3.42</v>
      </c>
      <c r="E48" s="7" t="s">
        <v>14</v>
      </c>
      <c r="F48" s="4">
        <v>2.8980000000000001</v>
      </c>
      <c r="G48" s="4">
        <v>3.2360000000000002</v>
      </c>
      <c r="H48" s="2"/>
      <c r="I48" s="2"/>
      <c r="J48" s="2"/>
      <c r="K48" s="2"/>
      <c r="L48" s="925" t="s">
        <v>23</v>
      </c>
      <c r="M48" s="925"/>
      <c r="N48" s="925"/>
      <c r="O48" s="2">
        <f>(width*(thk^2)*yield)/6</f>
        <v>756</v>
      </c>
      <c r="P48" s="2"/>
    </row>
    <row r="49" spans="1:18" hidden="1" x14ac:dyDescent="0.25">
      <c r="A49" s="7">
        <v>57.4</v>
      </c>
      <c r="B49" s="7">
        <v>14.75</v>
      </c>
      <c r="C49" s="7">
        <v>3.8</v>
      </c>
      <c r="D49" s="7">
        <v>6.9089999999999998</v>
      </c>
      <c r="E49" s="7">
        <v>2.9</v>
      </c>
      <c r="F49" s="4">
        <v>3.2360000000000002</v>
      </c>
      <c r="G49" s="4">
        <v>4.4370000000000003</v>
      </c>
      <c r="H49" s="2"/>
      <c r="I49" s="2"/>
      <c r="J49" s="2"/>
      <c r="K49" s="30"/>
      <c r="L49" s="2"/>
      <c r="M49" s="2"/>
      <c r="N49" s="2"/>
      <c r="O49" s="2"/>
      <c r="P49" s="2"/>
    </row>
    <row r="50" spans="1:18" hidden="1" x14ac:dyDescent="0.25">
      <c r="A50" s="7">
        <v>60</v>
      </c>
      <c r="B50" s="7">
        <v>11.85</v>
      </c>
      <c r="C50" s="7">
        <v>4.2300000000000004</v>
      </c>
      <c r="D50" s="7">
        <v>6.9089999999999998</v>
      </c>
      <c r="E50" s="7" t="s">
        <v>14</v>
      </c>
      <c r="F50" s="4">
        <v>2.8980000000000001</v>
      </c>
      <c r="G50" s="4">
        <v>3.2360000000000002</v>
      </c>
      <c r="H50" s="2"/>
      <c r="I50" s="2"/>
      <c r="J50" s="2"/>
      <c r="K50" s="30"/>
      <c r="L50" s="2"/>
      <c r="O50" s="2"/>
      <c r="P50" s="2"/>
    </row>
    <row r="51" spans="1:18" hidden="1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30"/>
      <c r="L51" s="2"/>
      <c r="M51" s="2" t="s">
        <v>30</v>
      </c>
      <c r="N51" s="2">
        <f>(thk*(coil_ID/2))/(2*((thk*mod)/(2*yield)))</f>
        <v>1.0344827586206896E-2</v>
      </c>
      <c r="O51" s="2"/>
      <c r="P51" s="2"/>
    </row>
    <row r="52" spans="1:18" hidden="1" x14ac:dyDescent="0.25">
      <c r="A52" s="5" t="s">
        <v>9</v>
      </c>
      <c r="B52" s="9">
        <f>CoilID_4</f>
        <v>20</v>
      </c>
      <c r="C52" s="3" t="s">
        <v>4</v>
      </c>
      <c r="D52" s="948" t="s">
        <v>25</v>
      </c>
      <c r="E52" s="948"/>
      <c r="F52" s="10">
        <v>12</v>
      </c>
      <c r="G52" s="3" t="s">
        <v>4</v>
      </c>
      <c r="H52" s="2"/>
      <c r="I52" s="2"/>
      <c r="J52" s="14" t="s">
        <v>31</v>
      </c>
      <c r="K52" s="28">
        <f>tension_tor*(coil_od/2)</f>
        <v>60064.646212970249</v>
      </c>
      <c r="L52" s="2"/>
      <c r="M52" s="2"/>
      <c r="N52" s="2"/>
      <c r="O52" s="2"/>
      <c r="P52" s="2"/>
    </row>
    <row r="53" spans="1:18" hidden="1" x14ac:dyDescent="0.25">
      <c r="A53" s="5" t="s">
        <v>62</v>
      </c>
      <c r="B53" s="9">
        <v>0.5</v>
      </c>
      <c r="D53" s="948" t="s">
        <v>27</v>
      </c>
      <c r="E53" s="948"/>
      <c r="F53" s="6">
        <v>1</v>
      </c>
      <c r="G53" s="3" t="s">
        <v>4</v>
      </c>
      <c r="H53" s="2"/>
      <c r="I53" s="2"/>
      <c r="J53" s="2"/>
      <c r="K53" s="30"/>
      <c r="L53" s="2"/>
      <c r="M53" s="2"/>
      <c r="N53" s="2"/>
      <c r="O53" s="2"/>
      <c r="P53" s="2"/>
      <c r="R53">
        <f>(friction*(PI()*((brake_paddia/2)^2)*air_press)*(0.965*brake_dist))</f>
        <v>6984.8914422854023</v>
      </c>
    </row>
    <row r="54" spans="1:18" hidden="1" x14ac:dyDescent="0.25">
      <c r="A54" t="s">
        <v>18</v>
      </c>
      <c r="B54">
        <f>IF((((72^2)-(coil_ID^2))/4*PI()*width*(VLOOKUP(material,LookupMaterial,4,FALSE)))&lt;VLOOKUP(reel_model, LookupReels,2,FALSE), (((72^2)-(coil_ID^2))/4*PI()*width*(VLOOKUP(material,LookupMaterial,4,FALSE))), VLOOKUP(reel_model, LookupReels,2))</f>
        <v>20000</v>
      </c>
      <c r="D54" s="948" t="s">
        <v>26</v>
      </c>
      <c r="E54" s="948"/>
      <c r="F54" s="11">
        <v>2</v>
      </c>
      <c r="G54" s="3"/>
      <c r="K54" s="29"/>
    </row>
    <row r="55" spans="1:18" hidden="1" x14ac:dyDescent="0.25">
      <c r="K55" s="29"/>
      <c r="P55" s="29"/>
    </row>
    <row r="56" spans="1:18" hidden="1" x14ac:dyDescent="0.25">
      <c r="K56" s="29"/>
      <c r="M56" s="2"/>
      <c r="P56" s="29"/>
    </row>
    <row r="57" spans="1:18" hidden="1" x14ac:dyDescent="0.25">
      <c r="B57" s="60" t="s">
        <v>997</v>
      </c>
      <c r="C57" s="564"/>
      <c r="D57" s="564" t="s">
        <v>24</v>
      </c>
      <c r="E57" s="567" t="s">
        <v>995</v>
      </c>
      <c r="K57" s="29"/>
      <c r="P57" s="29"/>
    </row>
    <row r="58" spans="1:18" hidden="1" x14ac:dyDescent="0.25">
      <c r="B58" s="560" t="s">
        <v>32</v>
      </c>
      <c r="C58" s="561"/>
      <c r="D58" s="562">
        <f>(4*$J$20)/(PI()*friction*brake_dist*no_brakepads*cyl_bore^2)</f>
        <v>40.507564433737727</v>
      </c>
      <c r="E58" s="563">
        <v>0</v>
      </c>
      <c r="J58" s="566" t="s">
        <v>998</v>
      </c>
      <c r="K58" s="29" t="s">
        <v>75</v>
      </c>
      <c r="P58" s="29"/>
    </row>
    <row r="59" spans="1:18" hidden="1" x14ac:dyDescent="0.25">
      <c r="B59" s="560" t="s">
        <v>33</v>
      </c>
      <c r="C59" s="561"/>
      <c r="D59" s="562">
        <f>(4*$J$20)/(PI()*friction*brake_dist*no_brakepads*(2*cyl_bore^2-cyl_rod^2))</f>
        <v>20.667124711090679</v>
      </c>
      <c r="E59" s="563">
        <v>0</v>
      </c>
    </row>
    <row r="60" spans="1:18" hidden="1" x14ac:dyDescent="0.25">
      <c r="B60" s="560" t="s">
        <v>34</v>
      </c>
      <c r="C60" s="561"/>
      <c r="D60" s="562">
        <f>(4*$J$20)/(PI()*friction*brake_dist*no_brakepads*(3*cyl_bore^2-2*cyl_rod^2))</f>
        <v>13.872453573197854</v>
      </c>
      <c r="E60" s="563">
        <v>0</v>
      </c>
    </row>
    <row r="61" spans="1:18" hidden="1" x14ac:dyDescent="0.25">
      <c r="B61" s="560" t="s">
        <v>959</v>
      </c>
      <c r="C61" s="564"/>
      <c r="D61" s="562">
        <f>(4*$J$20)/(PI()*friction*brake_dist*no_brakepads*cyl_bore^2)</f>
        <v>40.507564433737727</v>
      </c>
      <c r="E61" s="563">
        <v>1000</v>
      </c>
    </row>
    <row r="62" spans="1:18" hidden="1" x14ac:dyDescent="0.25">
      <c r="B62" s="560" t="s">
        <v>35</v>
      </c>
      <c r="C62" s="564"/>
      <c r="D62" s="562">
        <f>(4*$J$20)/(PI()*friction*brake_dist*no_brakepads*(2*cyl_bore^2-cyl_rod^2))</f>
        <v>20.667124711090679</v>
      </c>
      <c r="E62" s="563">
        <v>2385</v>
      </c>
    </row>
    <row r="63" spans="1:18" hidden="1" x14ac:dyDescent="0.25"/>
    <row r="64" spans="1:18" hidden="1" x14ac:dyDescent="0.25"/>
  </sheetData>
  <sheetProtection algorithmName="SHA-512" hashValue="2lcVNjZ3ohd2OKIoNxD1fq2hHeA7L7ScfgsPleGIW9W+CqUfKJ+ugkNCk97rn/RzytC78HZIROpXWdO9hZ9jFw==" saltValue="sM31q5cDX8BWeT/AEMlFYQ==" spinCount="100000" sheet="1" objects="1" scenarios="1"/>
  <mergeCells count="30">
    <mergeCell ref="J17:K17"/>
    <mergeCell ref="E8:F8"/>
    <mergeCell ref="C1:G1"/>
    <mergeCell ref="C2:G2"/>
    <mergeCell ref="B4:D4"/>
    <mergeCell ref="B5:D5"/>
    <mergeCell ref="B6:D6"/>
    <mergeCell ref="H10:I10"/>
    <mergeCell ref="H11:I11"/>
    <mergeCell ref="H12:I12"/>
    <mergeCell ref="A16:B16"/>
    <mergeCell ref="D16:F16"/>
    <mergeCell ref="H16:J16"/>
    <mergeCell ref="D17:E17"/>
    <mergeCell ref="H17:I17"/>
    <mergeCell ref="D18:E18"/>
    <mergeCell ref="H18:I18"/>
    <mergeCell ref="D20:E20"/>
    <mergeCell ref="H20:I20"/>
    <mergeCell ref="L48:N48"/>
    <mergeCell ref="K21:L21"/>
    <mergeCell ref="L45:N45"/>
    <mergeCell ref="L47:N47"/>
    <mergeCell ref="D52:E52"/>
    <mergeCell ref="D53:E53"/>
    <mergeCell ref="D54:E54"/>
    <mergeCell ref="D21:E21"/>
    <mergeCell ref="H21:I21"/>
    <mergeCell ref="H22:I22"/>
    <mergeCell ref="D22:E22"/>
  </mergeCells>
  <conditionalFormatting sqref="B30:B31">
    <cfRule type="cellIs" dxfId="276" priority="17" stopIfTrue="1" operator="lessThan">
      <formula>$C$31</formula>
    </cfRule>
    <cfRule type="cellIs" dxfId="275" priority="18" stopIfTrue="1" operator="greaterThan">
      <formula>$C$31</formula>
    </cfRule>
  </conditionalFormatting>
  <conditionalFormatting sqref="C30">
    <cfRule type="cellIs" dxfId="274" priority="15" stopIfTrue="1" operator="greaterThan">
      <formula>$B$30</formula>
    </cfRule>
    <cfRule type="cellIs" dxfId="273" priority="16" stopIfTrue="1" operator="lessThan">
      <formula>$B$30</formula>
    </cfRule>
  </conditionalFormatting>
  <conditionalFormatting sqref="C31">
    <cfRule type="cellIs" dxfId="272" priority="13" stopIfTrue="1" operator="greaterThan">
      <formula>$B$31</formula>
    </cfRule>
    <cfRule type="cellIs" dxfId="271" priority="14" stopIfTrue="1" operator="lessThan">
      <formula>$B$31</formula>
    </cfRule>
  </conditionalFormatting>
  <conditionalFormatting sqref="J21">
    <cfRule type="cellIs" dxfId="270" priority="19" stopIfTrue="1" operator="lessThan">
      <formula>$B$13</formula>
    </cfRule>
    <cfRule type="cellIs" dxfId="269" priority="20" stopIfTrue="1" operator="greaterThan">
      <formula>$B$13</formula>
    </cfRule>
  </conditionalFormatting>
  <conditionalFormatting sqref="B21">
    <cfRule type="cellIs" dxfId="268" priority="11" operator="lessThan">
      <formula>$B$20</formula>
    </cfRule>
    <cfRule type="cellIs" dxfId="267" priority="12" operator="greaterThan">
      <formula>$B$20</formula>
    </cfRule>
  </conditionalFormatting>
  <conditionalFormatting sqref="J22">
    <cfRule type="expression" dxfId="266" priority="9">
      <formula>$J$22&lt;$J$20</formula>
    </cfRule>
    <cfRule type="expression" dxfId="265" priority="10">
      <formula>$J$22&gt;$J$20</formula>
    </cfRule>
  </conditionalFormatting>
  <conditionalFormatting sqref="F20">
    <cfRule type="cellIs" dxfId="264" priority="7" operator="lessThan">
      <formula>$F$21</formula>
    </cfRule>
    <cfRule type="cellIs" dxfId="263" priority="8" operator="greaterThan">
      <formula>$F$21</formula>
    </cfRule>
  </conditionalFormatting>
  <conditionalFormatting sqref="B13">
    <cfRule type="cellIs" dxfId="262" priority="6" operator="greaterThan">
      <formula>120</formula>
    </cfRule>
  </conditionalFormatting>
  <conditionalFormatting sqref="B23">
    <cfRule type="cellIs" dxfId="261" priority="4" operator="notEqual">
      <formula>"OK"</formula>
    </cfRule>
    <cfRule type="cellIs" dxfId="260" priority="5" operator="equal">
      <formula>"OK"</formula>
    </cfRule>
  </conditionalFormatting>
  <conditionalFormatting sqref="F22">
    <cfRule type="cellIs" dxfId="259" priority="1" operator="lessThanOrEqual">
      <formula>$B$10</formula>
    </cfRule>
    <cfRule type="cellIs" dxfId="258" priority="2" operator="greaterThan">
      <formula>$B$10</formula>
    </cfRule>
  </conditionalFormatting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8353" r:id="rId4" name="Button 1">
              <controlPr defaultSize="0" print="0" autoFill="0" autoPict="0" macro="[0]!Tbl_Contents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66675</xdr:colOff>
                    <xdr:row>1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26C90D-F782-4C7C-A54B-591E6B588856}">
  <sheetPr codeName="Sheet2">
    <tabColor theme="1"/>
  </sheetPr>
  <dimension ref="A1:L65"/>
  <sheetViews>
    <sheetView zoomScaleNormal="100" workbookViewId="0">
      <selection activeCell="B8" sqref="B8"/>
    </sheetView>
  </sheetViews>
  <sheetFormatPr defaultColWidth="9.140625" defaultRowHeight="12.75" x14ac:dyDescent="0.2"/>
  <cols>
    <col min="1" max="1" width="21" style="462" customWidth="1"/>
    <col min="2" max="2" width="15" style="462" bestFit="1" customWidth="1"/>
    <col min="3" max="3" width="14.85546875" style="462" bestFit="1" customWidth="1"/>
    <col min="4" max="4" width="13.42578125" style="462" bestFit="1" customWidth="1"/>
    <col min="5" max="5" width="14" style="462" bestFit="1" customWidth="1"/>
    <col min="6" max="8" width="13.7109375" style="462" customWidth="1"/>
    <col min="9" max="9" width="11.7109375" style="462" bestFit="1" customWidth="1"/>
    <col min="10" max="10" width="13.85546875" style="462" bestFit="1" customWidth="1"/>
    <col min="11" max="16384" width="9.140625" style="462"/>
  </cols>
  <sheetData>
    <row r="1" spans="1:9" ht="21" x14ac:dyDescent="0.35">
      <c r="A1" s="461"/>
      <c r="B1" s="961" t="s">
        <v>0</v>
      </c>
      <c r="C1" s="961"/>
      <c r="D1" s="961"/>
      <c r="E1" s="961"/>
    </row>
    <row r="3" spans="1:9" ht="15" x14ac:dyDescent="0.25">
      <c r="A3" s="463" t="s">
        <v>1</v>
      </c>
      <c r="B3" s="981" t="str">
        <f>Customer</f>
        <v>ULTRATECH TOOL&amp; DESIGN, INC.</v>
      </c>
      <c r="C3" s="982"/>
      <c r="D3" s="983"/>
    </row>
    <row r="4" spans="1:9" ht="15" x14ac:dyDescent="0.25">
      <c r="A4" s="463" t="s">
        <v>2</v>
      </c>
      <c r="B4" s="984">
        <f>CalcDate</f>
        <v>0</v>
      </c>
      <c r="C4" s="982"/>
      <c r="D4" s="983"/>
    </row>
    <row r="5" spans="1:9" ht="15" x14ac:dyDescent="0.25">
      <c r="A5" s="463" t="s">
        <v>131</v>
      </c>
      <c r="B5" s="985">
        <f>Reference</f>
        <v>0</v>
      </c>
      <c r="C5" s="985"/>
      <c r="D5" s="985"/>
    </row>
    <row r="6" spans="1:9" ht="15" x14ac:dyDescent="0.25">
      <c r="A6" s="464"/>
      <c r="B6" s="465"/>
      <c r="C6" s="465"/>
      <c r="D6" s="465"/>
    </row>
    <row r="7" spans="1:9" ht="13.5" thickBot="1" x14ac:dyDescent="0.25"/>
    <row r="8" spans="1:9" ht="13.5" thickBot="1" x14ac:dyDescent="0.25">
      <c r="A8" s="468" t="s">
        <v>160</v>
      </c>
      <c r="B8" s="754" t="str">
        <f>[0]!reel_model</f>
        <v>CPR-200</v>
      </c>
    </row>
    <row r="9" spans="1:9" ht="13.5" thickBot="1" x14ac:dyDescent="0.25">
      <c r="A9" s="468" t="s">
        <v>100</v>
      </c>
      <c r="B9" s="753">
        <v>5</v>
      </c>
    </row>
    <row r="10" spans="1:9" ht="13.5" thickBot="1" x14ac:dyDescent="0.25"/>
    <row r="11" spans="1:9" x14ac:dyDescent="0.2">
      <c r="A11" s="974" t="s">
        <v>130</v>
      </c>
      <c r="B11" s="466" t="s">
        <v>129</v>
      </c>
      <c r="C11" s="466" t="s">
        <v>128</v>
      </c>
      <c r="D11" s="466" t="s">
        <v>127</v>
      </c>
      <c r="E11" s="466" t="s">
        <v>126</v>
      </c>
      <c r="F11" s="467" t="s">
        <v>125</v>
      </c>
      <c r="G11" s="468"/>
      <c r="H11" s="468"/>
      <c r="I11" s="469"/>
    </row>
    <row r="12" spans="1:9" ht="13.5" thickBot="1" x14ac:dyDescent="0.25">
      <c r="A12" s="976"/>
      <c r="B12" s="470">
        <f>_xlfn.XLOOKUP(Model, tblReelDrive[Model], tblReelDrive[CoilWeight], "", 0, 1)</f>
        <v>20000</v>
      </c>
      <c r="C12" s="615">
        <f>Reel_Width</f>
        <v>42</v>
      </c>
      <c r="D12" s="471">
        <f>_xlfn.XLOOKUP(Model, tblReelDrive[Model], tblReelDrive[BearingDist], "", 0, 1)</f>
        <v>24.69</v>
      </c>
      <c r="E12" s="471">
        <f>_xlfn.XLOOKUP(Model, tblReelDrive[Model], tblReelDrive[FBearingDia], "", 0, 1)</f>
        <v>11.26</v>
      </c>
      <c r="F12" s="472">
        <f>_xlfn.XLOOKUP(Model, tblReelDrive[Model], tblReelDrive[RBearingDia], "", 0, 1)</f>
        <v>11.26</v>
      </c>
      <c r="G12" s="473"/>
      <c r="H12" s="474"/>
      <c r="I12" s="475"/>
    </row>
    <row r="13" spans="1:9" x14ac:dyDescent="0.2">
      <c r="A13" s="979" t="s">
        <v>124</v>
      </c>
      <c r="B13" s="466" t="s">
        <v>120</v>
      </c>
      <c r="C13" s="466" t="s">
        <v>123</v>
      </c>
      <c r="D13" s="466" t="s">
        <v>122</v>
      </c>
      <c r="E13" s="466" t="s">
        <v>97</v>
      </c>
      <c r="F13" s="466" t="s">
        <v>106</v>
      </c>
      <c r="G13" s="466" t="s">
        <v>99</v>
      </c>
      <c r="H13" s="467" t="s">
        <v>105</v>
      </c>
      <c r="I13" s="476"/>
    </row>
    <row r="14" spans="1:9" ht="13.5" thickBot="1" x14ac:dyDescent="0.25">
      <c r="A14" s="980"/>
      <c r="B14" s="477">
        <f>_xlfn.XLOOKUP(Model, tblReelDrive[Model], tblReelDrive[MandrelDia], "", 0, 1)</f>
        <v>9.5</v>
      </c>
      <c r="C14" s="478">
        <f>WIDTH+17+BEARINGDIST</f>
        <v>83.69</v>
      </c>
      <c r="D14" s="479">
        <f>SPEED*12/COILID/PI()</f>
        <v>8.0214091318315255</v>
      </c>
      <c r="E14" s="479">
        <f>SPEED*12/COILOD/PI()</f>
        <v>2.228169203286535</v>
      </c>
      <c r="F14" s="480">
        <f>(MANDIA/2)^2*PI()*MANLEN*0.283</f>
        <v>1678.7927898866874</v>
      </c>
      <c r="G14" s="479">
        <f>MANWIEGHT/32.3/2*((MANDIA/2)^2/144)*12</f>
        <v>48.861922499765726</v>
      </c>
      <c r="H14" s="481">
        <f>MANINT/(RATIO^2)</f>
        <v>1.0265870685184808E-3</v>
      </c>
      <c r="I14" s="475"/>
    </row>
    <row r="15" spans="1:9" x14ac:dyDescent="0.2">
      <c r="A15" s="979" t="s">
        <v>121</v>
      </c>
      <c r="B15" s="466" t="s">
        <v>120</v>
      </c>
      <c r="C15" s="466" t="s">
        <v>119</v>
      </c>
      <c r="D15" s="962"/>
      <c r="E15" s="963"/>
      <c r="F15" s="466" t="s">
        <v>106</v>
      </c>
      <c r="G15" s="466" t="s">
        <v>99</v>
      </c>
      <c r="H15" s="467" t="s">
        <v>105</v>
      </c>
      <c r="I15" s="476"/>
    </row>
    <row r="16" spans="1:9" ht="13.5" thickBot="1" x14ac:dyDescent="0.25">
      <c r="A16" s="980"/>
      <c r="B16" s="478">
        <f>Reel_Backplate</f>
        <v>27</v>
      </c>
      <c r="C16" s="478" cm="1">
        <f t="array" ref="C16">_xlfn._xlws.FILTER(tblReelBP[Thickness], (tblReelBP[Model]=Model)*(tblReelBP[Backplate]=Reel_Backplate), 0)</f>
        <v>1.5</v>
      </c>
      <c r="D16" s="964"/>
      <c r="E16" s="965"/>
      <c r="F16" s="480">
        <f>(BPDIA/2)^2*PI()*0.283</f>
        <v>162.03313889603734</v>
      </c>
      <c r="G16" s="479">
        <f>BPWEIGHT/32.3/2*((MANDIA/2)^2/144)*12</f>
        <v>4.7160380499765777</v>
      </c>
      <c r="H16" s="481">
        <f>BPINT/(RATIO^2)</f>
        <v>9.9083773807104723E-5</v>
      </c>
      <c r="I16" s="475"/>
    </row>
    <row r="17" spans="1:9" x14ac:dyDescent="0.2">
      <c r="A17" s="979" t="s">
        <v>118</v>
      </c>
      <c r="B17" s="466" t="s">
        <v>117</v>
      </c>
      <c r="C17" s="466" t="s">
        <v>116</v>
      </c>
      <c r="D17" s="466" t="s">
        <v>115</v>
      </c>
      <c r="E17" s="466" t="s">
        <v>114</v>
      </c>
      <c r="F17" s="466" t="s">
        <v>106</v>
      </c>
      <c r="G17" s="466" t="s">
        <v>99</v>
      </c>
      <c r="H17" s="467" t="s">
        <v>105</v>
      </c>
      <c r="I17" s="476"/>
    </row>
    <row r="18" spans="1:9" ht="13.5" thickBot="1" x14ac:dyDescent="0.25">
      <c r="A18" s="980"/>
      <c r="B18" s="615">
        <f>VLOOKUP(Material_1, LookupMaterial, 4, FALSE)</f>
        <v>0.28299999999999997</v>
      </c>
      <c r="C18" s="615">
        <f>CoilOD_1</f>
        <v>72</v>
      </c>
      <c r="D18" s="615">
        <f>CoilID_1</f>
        <v>20</v>
      </c>
      <c r="E18" s="479">
        <f>COILWEIGHT/COILDENS/((COILOD^2-COILID^2)/4)/PI()</f>
        <v>18.808861468959588</v>
      </c>
      <c r="F18" s="470">
        <f>COILWEIGHT</f>
        <v>20000</v>
      </c>
      <c r="G18" s="482">
        <f>COILWEIGHT/32.3/2*((COILOD/2)^2+(COILID/2)^2)/144*12</f>
        <v>36016.511867905065</v>
      </c>
      <c r="H18" s="481">
        <f>COILINT/(RATIO^2)</f>
        <v>0.75670549673748533</v>
      </c>
      <c r="I18" s="475"/>
    </row>
    <row r="19" spans="1:9" x14ac:dyDescent="0.2">
      <c r="A19" s="979" t="s">
        <v>113</v>
      </c>
      <c r="B19" s="466" t="s">
        <v>103</v>
      </c>
      <c r="C19" s="977" t="s">
        <v>112</v>
      </c>
      <c r="D19" s="466" t="s">
        <v>111</v>
      </c>
      <c r="E19" s="466" t="s">
        <v>110</v>
      </c>
      <c r="F19" s="966"/>
      <c r="G19" s="466" t="s">
        <v>99</v>
      </c>
      <c r="H19" s="467" t="s">
        <v>105</v>
      </c>
    </row>
    <row r="20" spans="1:9" ht="13.5" thickBot="1" x14ac:dyDescent="0.25">
      <c r="A20" s="980"/>
      <c r="B20" s="479">
        <f>RATIO/CHAINRATIO</f>
        <v>54.541539124822798</v>
      </c>
      <c r="C20" s="978"/>
      <c r="D20" s="478">
        <v>0.85</v>
      </c>
      <c r="E20" s="478">
        <v>0.5</v>
      </c>
      <c r="F20" s="967"/>
      <c r="G20" s="478">
        <v>0.1</v>
      </c>
      <c r="H20" s="483">
        <f>REDUCERINT</f>
        <v>0.1</v>
      </c>
    </row>
    <row r="21" spans="1:9" ht="15" customHeight="1" x14ac:dyDescent="0.2">
      <c r="A21" s="979" t="s">
        <v>109</v>
      </c>
      <c r="B21" s="466" t="s">
        <v>103</v>
      </c>
      <c r="C21" s="466" t="s">
        <v>108</v>
      </c>
      <c r="D21" s="466" t="s">
        <v>107</v>
      </c>
      <c r="E21" s="966"/>
      <c r="F21" s="466" t="s">
        <v>106</v>
      </c>
      <c r="G21" s="466" t="s">
        <v>99</v>
      </c>
      <c r="H21" s="467" t="s">
        <v>105</v>
      </c>
    </row>
    <row r="22" spans="1:9" ht="13.5" thickBot="1" x14ac:dyDescent="0.25">
      <c r="A22" s="980"/>
      <c r="B22" s="478">
        <v>4</v>
      </c>
      <c r="C22" s="478">
        <v>31</v>
      </c>
      <c r="D22" s="478">
        <v>1.3</v>
      </c>
      <c r="E22" s="967"/>
      <c r="F22" s="482">
        <f>(SPRKTOD/2)^2*PI()*SPRKTTHICK*0.283</f>
        <v>277.67901292567831</v>
      </c>
      <c r="G22" s="482">
        <f>SPRKTWEIGHT/32.3/2*((SPRKTOD/2)^2/144)*12</f>
        <v>86.058285417175199</v>
      </c>
      <c r="H22" s="481">
        <f>SPRKTINT/(RATIO^2)</f>
        <v>1.8080811893672053E-3</v>
      </c>
    </row>
    <row r="23" spans="1:9" x14ac:dyDescent="0.2">
      <c r="A23" s="979" t="s">
        <v>104</v>
      </c>
      <c r="B23" s="467" t="s">
        <v>103</v>
      </c>
      <c r="C23" s="968"/>
      <c r="D23" s="969"/>
      <c r="E23" s="970"/>
      <c r="F23" s="484" t="s">
        <v>102</v>
      </c>
      <c r="G23" s="466" t="s">
        <v>84</v>
      </c>
      <c r="H23" s="467" t="s">
        <v>83</v>
      </c>
    </row>
    <row r="24" spans="1:9" ht="13.5" thickBot="1" x14ac:dyDescent="0.25">
      <c r="A24" s="980"/>
      <c r="B24" s="485">
        <f>MOTORRPM/RPMEMPTY</f>
        <v>218.16615649929119</v>
      </c>
      <c r="C24" s="971"/>
      <c r="D24" s="972"/>
      <c r="E24" s="973"/>
      <c r="F24" s="486" t="s">
        <v>99</v>
      </c>
      <c r="G24" s="487">
        <f>SUM(MANREFLI,BPREFLI,REDUCERREFLI,SPRKTREFLI)</f>
        <v>0.10293375203169279</v>
      </c>
      <c r="H24" s="481">
        <f>SUM(SPRKTREFLI,REDUCERREFLI,COILREFLI,BPREFLI,MANREFLI)</f>
        <v>0.85963924876917808</v>
      </c>
    </row>
    <row r="25" spans="1:9" x14ac:dyDescent="0.2">
      <c r="A25" s="979" t="s">
        <v>101</v>
      </c>
      <c r="B25" s="466" t="s">
        <v>100</v>
      </c>
      <c r="C25" s="466" t="s">
        <v>99</v>
      </c>
      <c r="D25" s="466" t="s">
        <v>98</v>
      </c>
      <c r="E25" s="467" t="s">
        <v>97</v>
      </c>
    </row>
    <row r="26" spans="1:9" ht="13.5" thickBot="1" x14ac:dyDescent="0.25">
      <c r="A26" s="986"/>
      <c r="B26" s="488">
        <f>Horsepower</f>
        <v>5</v>
      </c>
      <c r="C26" s="489">
        <f>_xlfn.XLOOKUP(MTRHP, tblReelHPX[HP], tblReelHPX[MtrInertia], "", 0, 1)</f>
        <v>0.14199999999999999</v>
      </c>
      <c r="D26" s="490">
        <v>1750</v>
      </c>
      <c r="E26" s="491">
        <f>SPEED*12/COILOD/PI()*RATIO</f>
        <v>486.11111111111114</v>
      </c>
      <c r="F26" s="492"/>
      <c r="G26" s="492"/>
      <c r="H26" s="492"/>
    </row>
    <row r="27" spans="1:9" x14ac:dyDescent="0.2">
      <c r="A27" s="974" t="s">
        <v>96</v>
      </c>
      <c r="B27" s="466" t="s">
        <v>95</v>
      </c>
      <c r="C27" s="466" t="s">
        <v>94</v>
      </c>
      <c r="D27" s="466" t="s">
        <v>93</v>
      </c>
      <c r="E27" s="467" t="s">
        <v>92</v>
      </c>
      <c r="F27" s="492"/>
    </row>
    <row r="28" spans="1:9" x14ac:dyDescent="0.2">
      <c r="A28" s="975"/>
      <c r="B28" s="493">
        <f>MANWIEGHT*((WIDTH/2)+13)/BEARINGDIST*0.002*REARBEARINGDIA/2</f>
        <v>26.031147496161175</v>
      </c>
      <c r="C28" s="493">
        <f>(MANWIEGHT+(MANWIEGHT*((WIDTH/2)+13)/BEARINGDIST))*0.002*FRONTBRGDIA/2</f>
        <v>44.934354310285272</v>
      </c>
      <c r="D28" s="493">
        <f>COILWEIGHT*((WIDTH/2)+13)/BEARINGDIST*0.002*REARBEARINGDIA/2</f>
        <v>310.11745646010525</v>
      </c>
      <c r="E28" s="494">
        <f>(COILWEIGHT+(COILWEIGHT*((WIDTH/2)+13)/BEARINGDIST))*0.002*FRONTBRGDIA/2</f>
        <v>535.31745646010518</v>
      </c>
      <c r="F28" s="492"/>
    </row>
    <row r="29" spans="1:9" x14ac:dyDescent="0.2">
      <c r="A29" s="975"/>
      <c r="B29" s="495" t="s">
        <v>91</v>
      </c>
      <c r="C29" s="495" t="s">
        <v>90</v>
      </c>
      <c r="D29" s="495" t="s">
        <v>89</v>
      </c>
      <c r="E29" s="496" t="s">
        <v>88</v>
      </c>
      <c r="F29" s="492"/>
      <c r="H29" s="492"/>
    </row>
    <row r="30" spans="1:9" ht="13.5" thickBot="1" x14ac:dyDescent="0.25">
      <c r="A30" s="976"/>
      <c r="B30" s="497">
        <f>B28+C28</f>
        <v>70.96550180644644</v>
      </c>
      <c r="C30" s="497">
        <f>B28+C28+D28+E28</f>
        <v>916.40041472665689</v>
      </c>
      <c r="D30" s="497">
        <f>FRICTIONEMPTY/RATIO/REDUCEREFFIC</f>
        <v>0.38268458772116709</v>
      </c>
      <c r="E30" s="498">
        <f>FRICTIONFULL/RATIO/REDUCEREFFIC</f>
        <v>4.9417295160353625</v>
      </c>
      <c r="F30" s="492"/>
      <c r="H30" s="492"/>
    </row>
    <row r="31" spans="1:9" x14ac:dyDescent="0.2">
      <c r="A31" s="499" t="s">
        <v>87</v>
      </c>
      <c r="B31" s="616">
        <f>ReqMaxFPM_1*FPMBuffer</f>
        <v>42</v>
      </c>
      <c r="C31" s="492"/>
      <c r="D31" s="492"/>
      <c r="E31" s="492"/>
      <c r="F31" s="492"/>
      <c r="G31" s="492"/>
      <c r="H31" s="492"/>
    </row>
    <row r="32" spans="1:9" x14ac:dyDescent="0.2">
      <c r="A32" s="500" t="s">
        <v>86</v>
      </c>
      <c r="B32" s="755">
        <v>1</v>
      </c>
      <c r="C32" s="492"/>
      <c r="D32" s="492"/>
      <c r="E32" s="492"/>
      <c r="F32" s="492"/>
      <c r="G32" s="492"/>
      <c r="H32" s="492"/>
    </row>
    <row r="33" spans="1:9" ht="13.5" thickBot="1" x14ac:dyDescent="0.25">
      <c r="A33" s="501" t="s">
        <v>85</v>
      </c>
      <c r="B33" s="502">
        <f>SPEED/60/ACCEL</f>
        <v>0.7</v>
      </c>
      <c r="C33" s="492"/>
      <c r="D33" s="492"/>
      <c r="E33" s="492"/>
      <c r="F33" s="492"/>
      <c r="G33" s="492" t="s">
        <v>79</v>
      </c>
      <c r="H33" s="492" t="s">
        <v>79</v>
      </c>
    </row>
    <row r="34" spans="1:9" x14ac:dyDescent="0.2">
      <c r="A34" s="503"/>
      <c r="B34" s="466" t="s">
        <v>84</v>
      </c>
      <c r="C34" s="466" t="s">
        <v>83</v>
      </c>
      <c r="D34" s="466" t="s">
        <v>84</v>
      </c>
      <c r="E34" s="467" t="s">
        <v>83</v>
      </c>
      <c r="F34" s="492"/>
      <c r="G34" s="526" t="str">
        <f>IF(VLOOKUP(TypeOfLine,LookupTypeOfLine,3,FALSE)="Motorized", IF(AND(MTRHP&gt;HPEMPTY,MTRHP&gt;HPFULL),"OK","NOT OK"),"USE PULLOFF")</f>
        <v>USE PULLOFF</v>
      </c>
      <c r="H34" s="492"/>
    </row>
    <row r="35" spans="1:9" x14ac:dyDescent="0.2">
      <c r="A35" s="500" t="s">
        <v>82</v>
      </c>
      <c r="B35" s="504">
        <f>((((REFLIEMPTY*MOTORRPM)/(9.55*ACELTIME))/REDUCEREFFIC)+(MOTORINT*MOTORRPM)/(9.55*ACELTIME))+REFLFRICEMPTY</f>
        <v>69.256645792430987</v>
      </c>
      <c r="C35" s="504">
        <f>(((REFLIFULL*MTRRPMFULL)/(9.55*ACELTIME))/REDUCEREFFIC)+((MOTORINT*MTRRPMFULL)/(9.55*ACELTIME))+REFLECTEDFRICTIONFULL</f>
        <v>88.808824678166047</v>
      </c>
      <c r="D35" s="505"/>
      <c r="E35" s="506"/>
      <c r="F35" s="492"/>
      <c r="G35" s="492"/>
      <c r="H35" s="492"/>
    </row>
    <row r="36" spans="1:9" x14ac:dyDescent="0.2">
      <c r="A36" s="500" t="s">
        <v>81</v>
      </c>
      <c r="B36" s="507">
        <f>TQEMPTY*MOTORRPM/63000</f>
        <v>1.9237957164564163</v>
      </c>
      <c r="C36" s="507">
        <f>TQFULL*MOTORRPM/63000</f>
        <v>2.4669117966157237</v>
      </c>
      <c r="D36" s="495" t="str">
        <f>IF(MTRHP&gt;HPEMPTY,"OK","TOO SMALL!")</f>
        <v>OK</v>
      </c>
      <c r="E36" s="496" t="str">
        <f>IF(MTRHP&gt;HPFULL,"OK","TOO SMALL!")</f>
        <v>OK</v>
      </c>
    </row>
    <row r="37" spans="1:9" ht="13.5" thickBot="1" x14ac:dyDescent="0.25">
      <c r="A37" s="486" t="s">
        <v>80</v>
      </c>
      <c r="B37" s="508">
        <f>(((REFLIEMPTY*MOTORRPM)/(9.55*ACELTIME))+((MOTORINT*MOTORRPM)/(9.55*ACELTIME))-(FRICTIONEMPTY/RATIO/REDBACKEFFIC))*MOTORRPM/63000*746</f>
        <v>1315.2025476003307</v>
      </c>
      <c r="C37" s="508">
        <f>(((REFLIFULL*MTRRPMFULL)/(9.55*ACELTIME))+((MOTORINT*MTRRPMFULL)/(9.55*ACELTIME))-(FRICTIONFULL/RATIO/REDBACKEFFIC))*MTRRPMFULL/63000*746</f>
        <v>370.89874554207199</v>
      </c>
      <c r="D37" s="509" t="s">
        <v>51</v>
      </c>
      <c r="E37" s="509" t="s">
        <v>51</v>
      </c>
    </row>
    <row r="39" spans="1:9" x14ac:dyDescent="0.2">
      <c r="I39" s="462" t="s">
        <v>79</v>
      </c>
    </row>
    <row r="42" spans="1:9" x14ac:dyDescent="0.2">
      <c r="F42" s="492"/>
      <c r="G42" s="492"/>
      <c r="H42" s="492"/>
    </row>
    <row r="43" spans="1:9" x14ac:dyDescent="0.2">
      <c r="F43" s="492"/>
    </row>
    <row r="44" spans="1:9" x14ac:dyDescent="0.2">
      <c r="D44" s="473"/>
      <c r="E44" s="492"/>
      <c r="F44" s="492" t="s">
        <v>79</v>
      </c>
      <c r="G44" s="462" t="s">
        <v>79</v>
      </c>
      <c r="H44" s="462" t="s">
        <v>79</v>
      </c>
    </row>
    <row r="45" spans="1:9" x14ac:dyDescent="0.2">
      <c r="D45" s="510"/>
      <c r="E45" s="492"/>
      <c r="F45" s="492"/>
    </row>
    <row r="47" spans="1:9" x14ac:dyDescent="0.2">
      <c r="E47" s="511" t="s">
        <v>79</v>
      </c>
      <c r="F47" s="511" t="s">
        <v>79</v>
      </c>
      <c r="G47" s="511" t="s">
        <v>79</v>
      </c>
      <c r="H47" s="511" t="s">
        <v>79</v>
      </c>
    </row>
    <row r="52" spans="1:12" x14ac:dyDescent="0.2">
      <c r="A52" s="512"/>
      <c r="B52" s="512"/>
      <c r="C52" s="512"/>
      <c r="D52" s="512"/>
      <c r="E52" s="461"/>
      <c r="F52" s="461"/>
      <c r="G52" s="512"/>
      <c r="H52" s="512"/>
      <c r="I52" s="512"/>
      <c r="J52" s="512"/>
      <c r="K52" s="512"/>
      <c r="L52" s="512"/>
    </row>
    <row r="53" spans="1:12" x14ac:dyDescent="0.2">
      <c r="A53" s="461"/>
      <c r="B53" s="512"/>
      <c r="C53" s="513"/>
      <c r="D53" s="512"/>
      <c r="E53" s="461"/>
      <c r="F53" s="461"/>
      <c r="G53" s="512"/>
      <c r="H53" s="512"/>
      <c r="I53" s="512"/>
      <c r="J53" s="512"/>
      <c r="K53" s="512"/>
      <c r="L53" s="512"/>
    </row>
    <row r="54" spans="1:12" x14ac:dyDescent="0.2">
      <c r="A54" s="514"/>
      <c r="B54" s="512"/>
      <c r="C54" s="513"/>
      <c r="D54" s="512"/>
      <c r="E54" s="461"/>
      <c r="F54" s="461"/>
      <c r="G54" s="512"/>
      <c r="H54" s="512"/>
      <c r="I54" s="512"/>
      <c r="J54" s="512"/>
      <c r="K54" s="512"/>
      <c r="L54" s="512"/>
    </row>
    <row r="55" spans="1:12" x14ac:dyDescent="0.2">
      <c r="A55" s="461"/>
      <c r="B55" s="512"/>
      <c r="C55" s="513"/>
      <c r="D55" s="512"/>
      <c r="E55" s="461"/>
      <c r="F55" s="461"/>
      <c r="G55" s="512"/>
      <c r="H55" s="512"/>
      <c r="I55" s="512"/>
      <c r="J55" s="512"/>
      <c r="K55" s="512"/>
      <c r="L55" s="512"/>
    </row>
    <row r="56" spans="1:12" x14ac:dyDescent="0.2">
      <c r="A56" s="514"/>
      <c r="B56" s="512"/>
      <c r="C56" s="513"/>
      <c r="D56" s="512"/>
      <c r="E56" s="461"/>
      <c r="F56" s="461"/>
      <c r="G56" s="512"/>
      <c r="H56" s="512"/>
      <c r="I56" s="512"/>
      <c r="J56" s="512"/>
      <c r="K56" s="512"/>
      <c r="L56" s="512"/>
    </row>
    <row r="57" spans="1:12" x14ac:dyDescent="0.2">
      <c r="A57" s="461"/>
      <c r="B57" s="512"/>
      <c r="C57" s="513"/>
      <c r="D57" s="512"/>
      <c r="E57" s="461"/>
      <c r="F57" s="461"/>
      <c r="G57" s="512"/>
      <c r="H57" s="512"/>
      <c r="I57" s="512"/>
      <c r="J57" s="512"/>
      <c r="K57" s="512"/>
      <c r="L57" s="512"/>
    </row>
    <row r="58" spans="1:12" x14ac:dyDescent="0.2">
      <c r="A58" s="514"/>
      <c r="B58" s="512"/>
      <c r="C58" s="513"/>
      <c r="D58" s="512"/>
      <c r="E58" s="461"/>
      <c r="F58" s="461"/>
      <c r="G58" s="512"/>
      <c r="H58" s="512"/>
      <c r="I58" s="512"/>
      <c r="J58" s="512"/>
      <c r="K58" s="512"/>
      <c r="L58" s="512"/>
    </row>
    <row r="59" spans="1:12" x14ac:dyDescent="0.2">
      <c r="A59" s="461"/>
      <c r="B59" s="512"/>
      <c r="C59" s="513"/>
      <c r="D59" s="512"/>
      <c r="E59" s="461"/>
      <c r="F59" s="461"/>
      <c r="G59" s="512"/>
      <c r="H59" s="512"/>
      <c r="I59" s="512"/>
      <c r="J59" s="512"/>
      <c r="K59" s="512"/>
      <c r="L59" s="512"/>
    </row>
    <row r="60" spans="1:12" x14ac:dyDescent="0.2">
      <c r="A60" s="514"/>
      <c r="B60" s="512"/>
      <c r="C60" s="513"/>
      <c r="D60" s="512"/>
      <c r="E60" s="461"/>
      <c r="F60" s="461"/>
      <c r="G60" s="512"/>
      <c r="H60" s="512"/>
      <c r="I60" s="512"/>
      <c r="J60" s="512"/>
      <c r="K60" s="512"/>
      <c r="L60" s="512"/>
    </row>
    <row r="61" spans="1:12" x14ac:dyDescent="0.2">
      <c r="A61" s="461"/>
      <c r="B61" s="512"/>
      <c r="C61" s="513"/>
      <c r="D61" s="512"/>
      <c r="E61" s="461"/>
      <c r="F61" s="461"/>
      <c r="G61" s="512"/>
      <c r="H61" s="512"/>
      <c r="I61" s="512"/>
      <c r="J61" s="512"/>
      <c r="K61" s="512"/>
      <c r="L61" s="512"/>
    </row>
    <row r="62" spans="1:12" x14ac:dyDescent="0.2">
      <c r="A62" s="461"/>
      <c r="B62" s="512"/>
      <c r="C62" s="512"/>
      <c r="D62" s="512"/>
      <c r="E62" s="461"/>
      <c r="F62" s="461"/>
      <c r="G62" s="512"/>
      <c r="H62" s="512"/>
      <c r="I62" s="512"/>
      <c r="J62" s="512"/>
      <c r="K62" s="512"/>
      <c r="L62" s="512"/>
    </row>
    <row r="63" spans="1:12" x14ac:dyDescent="0.2">
      <c r="A63" s="461"/>
      <c r="B63" s="512"/>
      <c r="C63" s="512"/>
      <c r="D63" s="512"/>
      <c r="E63" s="461"/>
      <c r="F63" s="461"/>
      <c r="G63" s="512"/>
      <c r="H63" s="512"/>
      <c r="I63" s="512"/>
      <c r="J63" s="512"/>
      <c r="K63" s="512"/>
      <c r="L63" s="512"/>
    </row>
    <row r="64" spans="1:12" x14ac:dyDescent="0.2">
      <c r="A64" s="461"/>
      <c r="B64" s="461"/>
      <c r="C64" s="461"/>
      <c r="D64" s="461"/>
      <c r="E64" s="461"/>
      <c r="F64" s="461"/>
      <c r="G64" s="512"/>
      <c r="H64" s="512"/>
      <c r="I64" s="512"/>
      <c r="J64" s="512"/>
      <c r="K64" s="512"/>
      <c r="L64" s="512"/>
    </row>
    <row r="65" spans="1:12" x14ac:dyDescent="0.2">
      <c r="A65" s="461"/>
      <c r="B65" s="461"/>
      <c r="C65" s="461"/>
      <c r="D65" s="461"/>
      <c r="E65" s="461"/>
      <c r="F65" s="461"/>
      <c r="G65" s="461"/>
      <c r="H65" s="461"/>
      <c r="I65" s="461"/>
      <c r="J65" s="461"/>
      <c r="K65" s="461"/>
      <c r="L65" s="461"/>
    </row>
  </sheetData>
  <sheetProtection algorithmName="SHA-512" hashValue="3EwdBC4OtaPUWmaPqzh6cmNk+mfGVmB3fT60tL21JltrPPoSX9P2A/2ZHVLiOXqkIxblgk6h0A0r6f48FdCWjg==" saltValue="KTyQ8Z27xqUBQ8J/BopqGg==" spinCount="100000" sheet="1" objects="1" scenarios="1"/>
  <mergeCells count="18">
    <mergeCell ref="A27:A30"/>
    <mergeCell ref="C19:C20"/>
    <mergeCell ref="A21:A22"/>
    <mergeCell ref="B3:D3"/>
    <mergeCell ref="B4:D4"/>
    <mergeCell ref="B5:D5"/>
    <mergeCell ref="A25:A26"/>
    <mergeCell ref="A11:A12"/>
    <mergeCell ref="A17:A18"/>
    <mergeCell ref="A23:A24"/>
    <mergeCell ref="A13:A14"/>
    <mergeCell ref="A15:A16"/>
    <mergeCell ref="A19:A20"/>
    <mergeCell ref="B1:E1"/>
    <mergeCell ref="D15:E16"/>
    <mergeCell ref="F19:F20"/>
    <mergeCell ref="E21:E22"/>
    <mergeCell ref="C23:E24"/>
  </mergeCells>
  <conditionalFormatting sqref="D37:E37">
    <cfRule type="cellIs" dxfId="257" priority="3" stopIfTrue="1" operator="equal">
      <formula>"DB REQ'D!"</formula>
    </cfRule>
    <cfRule type="cellIs" dxfId="256" priority="4" stopIfTrue="1" operator="equal">
      <formula>"OK"</formula>
    </cfRule>
  </conditionalFormatting>
  <conditionalFormatting sqref="D36:E36">
    <cfRule type="cellIs" dxfId="255" priority="1" stopIfTrue="1" operator="equal">
      <formula>"TOO SMALL!"</formula>
    </cfRule>
    <cfRule type="cellIs" dxfId="254" priority="2" stopIfTrue="1" operator="equal">
      <formula>"OK"</formula>
    </cfRule>
  </conditionalFormatting>
  <dataValidations count="1">
    <dataValidation type="list" allowBlank="1" showInputMessage="1" showErrorMessage="1" sqref="B9" xr:uid="{83181851-DE37-43EB-B15D-1F5756A4752C}">
      <formula1>ReelHPs</formula1>
    </dataValidation>
  </dataValidations>
  <printOptions horizontalCentered="1"/>
  <pageMargins left="1" right="1" top="1" bottom="0.5" header="0.5" footer="0.5"/>
  <pageSetup orientation="landscape" r:id="rId1"/>
  <headerFooter alignWithMargins="0">
    <oddHeader>&amp;A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Tbl_Contents">
                <anchor moveWithCells="1">
                  <from>
                    <xdr:col>0</xdr:col>
                    <xdr:colOff>9525</xdr:colOff>
                    <xdr:row>0</xdr:row>
                    <xdr:rowOff>19050</xdr:rowOff>
                  </from>
                  <to>
                    <xdr:col>1</xdr:col>
                    <xdr:colOff>28575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8A28-2AD5-4FFD-995F-D449F011A82A}">
  <sheetPr codeName="Sheet4">
    <tabColor theme="1"/>
    <pageSetUpPr fitToPage="1"/>
  </sheetPr>
  <dimension ref="A1:X94"/>
  <sheetViews>
    <sheetView topLeftCell="A3" zoomScaleNormal="100" workbookViewId="0">
      <selection activeCell="D22" sqref="D22"/>
    </sheetView>
  </sheetViews>
  <sheetFormatPr defaultRowHeight="15" x14ac:dyDescent="0.25"/>
  <cols>
    <col min="1" max="1" width="20.42578125" customWidth="1"/>
    <col min="2" max="2" width="10.42578125" style="2" customWidth="1"/>
    <col min="3" max="3" width="10.28515625" customWidth="1"/>
    <col min="4" max="4" width="4.28515625" customWidth="1"/>
    <col min="5" max="5" width="18.7109375" customWidth="1"/>
    <col min="6" max="6" width="20.7109375" customWidth="1"/>
    <col min="7" max="7" width="16.7109375" customWidth="1"/>
    <col min="8" max="8" width="7.28515625" customWidth="1"/>
    <col min="9" max="9" width="20" bestFit="1" customWidth="1"/>
    <col min="10" max="10" width="11.7109375" customWidth="1"/>
    <col min="11" max="11" width="20" hidden="1" customWidth="1"/>
    <col min="12" max="12" width="10.28515625" hidden="1" customWidth="1"/>
    <col min="13" max="13" width="10.28515625" style="2" hidden="1" customWidth="1"/>
    <col min="14" max="14" width="10.7109375" hidden="1" customWidth="1"/>
    <col min="15" max="15" width="11.42578125" hidden="1" customWidth="1"/>
    <col min="16" max="16" width="10.7109375" hidden="1" customWidth="1"/>
    <col min="17" max="18" width="9.28515625" hidden="1" customWidth="1"/>
    <col min="19" max="19" width="12.42578125" hidden="1" customWidth="1"/>
    <col min="20" max="20" width="10.7109375" hidden="1" customWidth="1"/>
    <col min="21" max="21" width="20.42578125" hidden="1" customWidth="1"/>
    <col min="22" max="22" width="11" hidden="1" customWidth="1"/>
    <col min="23" max="24" width="9.28515625" hidden="1" customWidth="1"/>
    <col min="25" max="26" width="9.28515625" customWidth="1"/>
    <col min="27" max="30" width="9.140625" customWidth="1"/>
  </cols>
  <sheetData>
    <row r="1" spans="1:23" ht="18.75" x14ac:dyDescent="0.3">
      <c r="E1" s="32" t="s">
        <v>0</v>
      </c>
      <c r="K1" s="598"/>
      <c r="L1" t="s">
        <v>309</v>
      </c>
      <c r="M1" s="7">
        <f>IF( payoff="TOP", -coil_od/2, coil_od/2)</f>
        <v>-36</v>
      </c>
      <c r="O1" t="s">
        <v>308</v>
      </c>
      <c r="P1" s="7">
        <f>1/curv_at_yld</f>
        <v>36.25</v>
      </c>
    </row>
    <row r="2" spans="1:23" x14ac:dyDescent="0.25">
      <c r="E2" s="64" t="s">
        <v>307</v>
      </c>
      <c r="K2" s="598">
        <f>HP</f>
        <v>50</v>
      </c>
      <c r="L2" t="s">
        <v>306</v>
      </c>
      <c r="M2" s="7">
        <f>IF(ABS(1/M1)&gt;curv_at_yld,1/((1/M1)-((ABS(M1)/M1)*(1.5*(1-creep))*curv_at_yld*(1-((1/3)*(curv_at_yld/(1/M1))^2)))), IF(creep=0, ABS(M1)/M1*99999, M1/creep))</f>
        <v>-109.07514596324812</v>
      </c>
      <c r="O2" t="s">
        <v>305</v>
      </c>
      <c r="P2" s="2">
        <f>coil_width*yield*(thk^2)/6</f>
        <v>18750</v>
      </c>
    </row>
    <row r="3" spans="1:23" x14ac:dyDescent="0.25">
      <c r="B3"/>
      <c r="E3" s="64"/>
      <c r="K3" s="598" t="str">
        <f>model</f>
        <v>CPPS-507</v>
      </c>
      <c r="M3" s="7"/>
      <c r="P3" s="2"/>
    </row>
    <row r="4" spans="1:23" x14ac:dyDescent="0.25">
      <c r="A4" s="5" t="s">
        <v>1</v>
      </c>
      <c r="B4" s="987" t="str">
        <f>Customer</f>
        <v>ULTRATECH TOOL&amp; DESIGN, INC.</v>
      </c>
      <c r="C4" s="987"/>
      <c r="D4" s="987"/>
      <c r="E4" s="987"/>
      <c r="F4" s="987"/>
      <c r="K4" s="598">
        <f>str_width</f>
        <v>42</v>
      </c>
      <c r="M4" s="7"/>
      <c r="P4" s="2"/>
    </row>
    <row r="5" spans="1:23" x14ac:dyDescent="0.25">
      <c r="A5" s="5" t="s">
        <v>2</v>
      </c>
      <c r="B5" s="988">
        <f>CalcDate</f>
        <v>0</v>
      </c>
      <c r="C5" s="989"/>
      <c r="D5" s="989"/>
      <c r="E5" s="989"/>
      <c r="F5" s="989"/>
      <c r="M5" s="7"/>
      <c r="P5" s="2"/>
    </row>
    <row r="6" spans="1:23" x14ac:dyDescent="0.25">
      <c r="A6" s="5" t="s">
        <v>3</v>
      </c>
      <c r="B6" s="987">
        <f>Reference</f>
        <v>0</v>
      </c>
      <c r="C6" s="987"/>
      <c r="D6" s="987"/>
      <c r="E6" s="987"/>
      <c r="F6" s="987"/>
      <c r="M6" s="7"/>
      <c r="P6" s="2"/>
    </row>
    <row r="7" spans="1:23" x14ac:dyDescent="0.25">
      <c r="L7" t="s">
        <v>304</v>
      </c>
      <c r="M7" s="49">
        <f>1/M2</f>
        <v>-9.1679913986724426E-3</v>
      </c>
      <c r="R7" s="568" t="s">
        <v>303</v>
      </c>
      <c r="S7" s="63">
        <f>L13</f>
        <v>16208.482040418778</v>
      </c>
      <c r="T7" s="62">
        <f>L14</f>
        <v>0.71313613698417133</v>
      </c>
    </row>
    <row r="8" spans="1:23" x14ac:dyDescent="0.25">
      <c r="A8" s="57" t="s">
        <v>302</v>
      </c>
      <c r="B8" s="710" t="s">
        <v>169</v>
      </c>
      <c r="L8" t="s">
        <v>301</v>
      </c>
      <c r="M8" s="49">
        <f>2*yield/(thk*mod)</f>
        <v>2.7586206896551724E-2</v>
      </c>
    </row>
    <row r="9" spans="1:23" x14ac:dyDescent="0.25">
      <c r="A9" s="57" t="s">
        <v>300</v>
      </c>
      <c r="B9" s="993" t="s">
        <v>142</v>
      </c>
      <c r="C9" s="994"/>
      <c r="D9" s="667"/>
    </row>
    <row r="10" spans="1:23" x14ac:dyDescent="0.25">
      <c r="A10" s="57" t="s">
        <v>299</v>
      </c>
      <c r="B10" s="711">
        <v>42</v>
      </c>
      <c r="C10" s="54"/>
      <c r="D10" s="54"/>
      <c r="L10">
        <v>9706.5564862906867</v>
      </c>
    </row>
    <row r="11" spans="1:23" x14ac:dyDescent="0.25">
      <c r="A11" s="57" t="s">
        <v>298</v>
      </c>
      <c r="B11" s="448">
        <f>VLOOKUP(RollSelection, LookupStrBackbend,2, FALSE)</f>
        <v>7</v>
      </c>
      <c r="C11" s="54"/>
      <c r="D11" s="54"/>
      <c r="L11" t="s">
        <v>297</v>
      </c>
      <c r="M11"/>
      <c r="N11" t="s">
        <v>296</v>
      </c>
      <c r="P11" t="s">
        <v>295</v>
      </c>
      <c r="R11" t="s">
        <v>294</v>
      </c>
      <c r="S11" t="s">
        <v>293</v>
      </c>
      <c r="T11" t="s">
        <v>292</v>
      </c>
      <c r="U11" t="s">
        <v>291</v>
      </c>
    </row>
    <row r="12" spans="1:23" x14ac:dyDescent="0.25">
      <c r="K12" t="s">
        <v>290</v>
      </c>
      <c r="L12" s="4">
        <f>IF((L10-10000)/1000&lt;B29, "TOO DEEP!", (L10-10000)/1000)</f>
        <v>-0.29344351370931326</v>
      </c>
      <c r="M12" s="4"/>
      <c r="N12" s="4">
        <f>L12+((P12-L12)/2)</f>
        <v>-4.6721756854656626E-2</v>
      </c>
      <c r="O12" s="4"/>
      <c r="P12" s="4">
        <f>thk*0.8</f>
        <v>0.2</v>
      </c>
      <c r="R12" s="39">
        <f>rad_at_yld/2</f>
        <v>18.125</v>
      </c>
      <c r="S12" s="39">
        <f>R12-(SQRT(((R12+(thk/4))^2)-((cent_dist/4)^2)))</f>
        <v>7.7211873750290039E-2</v>
      </c>
      <c r="T12" s="39">
        <f>ABS(S12)*-2*1.07</f>
        <v>-0.16523340982562068</v>
      </c>
      <c r="U12" s="43">
        <f>10000+(V20*1000)</f>
        <v>9875</v>
      </c>
      <c r="V12" s="43">
        <f>10000+(B29*1000)</f>
        <v>8750</v>
      </c>
      <c r="W12" s="43">
        <f>IF(U12&gt;V12,U12,V12)</f>
        <v>9875</v>
      </c>
    </row>
    <row r="13" spans="1:23" x14ac:dyDescent="0.25">
      <c r="A13" s="57" t="s">
        <v>289</v>
      </c>
      <c r="B13" s="530">
        <f>CoilWeight_1</f>
        <v>20000</v>
      </c>
      <c r="C13" s="61"/>
      <c r="D13" s="61"/>
      <c r="F13" s="50" t="s">
        <v>288</v>
      </c>
      <c r="G13" s="50" t="s">
        <v>287</v>
      </c>
      <c r="I13" s="47" t="str">
        <f>IF(jack_force&gt;F14, "JACK FORCE OK", "NOT ENOUGH FORCE")</f>
        <v>JACK FORCE OK</v>
      </c>
      <c r="K13" t="s">
        <v>286</v>
      </c>
      <c r="L13" s="7">
        <f>L18*5.333/cent_dist</f>
        <v>16208.482040418778</v>
      </c>
      <c r="M13" s="7"/>
      <c r="N13" s="7">
        <f>N18*5.333/cent_dist</f>
        <v>16278.960228653696</v>
      </c>
      <c r="O13" s="7"/>
      <c r="P13" s="7">
        <f>P18*5.3333/cent_dist</f>
        <v>10612.773449719065</v>
      </c>
      <c r="R13" s="39"/>
      <c r="S13" s="39">
        <f>R12-(SQRT(((R12+(thk/4))*((R12+(thk/4)))-(((cent_dist/4)*(cent_dist/4))))))</f>
        <v>7.7211873750290039E-2</v>
      </c>
      <c r="T13" s="39"/>
      <c r="U13" s="43"/>
      <c r="V13" s="43"/>
      <c r="W13" s="43"/>
    </row>
    <row r="14" spans="1:23" x14ac:dyDescent="0.25">
      <c r="A14" s="57" t="s">
        <v>285</v>
      </c>
      <c r="B14" s="448">
        <f>CoilID_1</f>
        <v>20</v>
      </c>
      <c r="C14" s="61"/>
      <c r="D14" s="61"/>
      <c r="E14" s="60" t="s">
        <v>284</v>
      </c>
      <c r="F14" s="530">
        <f>((16*yield*coil_width*thk^2)/(15*cent_dist))+(((16*yield*coil_width*thk^2)/(15*cent_dist))*0.19)</f>
        <v>15866.666666666668</v>
      </c>
      <c r="G14" s="58">
        <f>jack_force</f>
        <v>60000</v>
      </c>
      <c r="I14" s="773" t="str">
        <f>IF(F14&gt;(G14*0.6),"Back Up Rolls Recommended", "")</f>
        <v/>
      </c>
      <c r="K14" t="s">
        <v>283</v>
      </c>
      <c r="L14" s="59">
        <f>IF(curv_at_yld&lt;ABS(L17),1-ABS(curv_at_yld/L17)," NONE")</f>
        <v>0.71313613698417133</v>
      </c>
      <c r="M14" s="59">
        <f>IF(curv_at_yld&lt;ABS(M17),1-ABS(curv_at_yld/M17)," NONE")</f>
        <v>0.79374699823318628</v>
      </c>
      <c r="N14" s="59">
        <f>IF(curv_at_yld&lt;ABS(N17),1-ABS(curv_at_yld/N17)," NONE")</f>
        <v>0.73617428273024021</v>
      </c>
      <c r="O14" s="59">
        <f>IF(curv_at_yld&lt;ABS(O17),1-ABS(curv_at_yld/O17)," NONE")</f>
        <v>0.63843506984615961</v>
      </c>
      <c r="P14" s="59" t="str">
        <f>IF(curv_at_yld&lt;ABS(P17),1-ABS(curv_at_yld/P17)," NONE")</f>
        <v xml:space="preserve"> NONE</v>
      </c>
      <c r="R14" s="39"/>
      <c r="S14" s="39">
        <f>(SQRT(((R12+(thk/4))*((R12+(thk/4)))-(((cent_dist/4)*(cent_dist/4))))))</f>
        <v>18.04778812624971</v>
      </c>
      <c r="T14" s="39">
        <f>S14-R12</f>
        <v>-7.7211873750290039E-2</v>
      </c>
      <c r="U14" s="43"/>
      <c r="V14" s="43"/>
      <c r="W14" s="43"/>
    </row>
    <row r="15" spans="1:23" x14ac:dyDescent="0.25">
      <c r="A15" s="57" t="s">
        <v>282</v>
      </c>
      <c r="B15" s="448">
        <f>CoilWidth_1</f>
        <v>18</v>
      </c>
      <c r="C15" s="54"/>
      <c r="D15" s="54"/>
      <c r="F15" s="2"/>
      <c r="G15" s="2"/>
      <c r="K15" s="2" t="s">
        <v>281</v>
      </c>
      <c r="L15" s="7">
        <f>(1.314-$B$59*thk+$B$60*L12)*((-0.25*B27^2)-(L12^2)+(2*L12*thk)-thk^2)/(4*(L12+0.00000001)-4*thk)</f>
        <v>11.4946741233283</v>
      </c>
      <c r="M15" s="7">
        <f>-L15</f>
        <v>-11.4946741233283</v>
      </c>
      <c r="N15" s="7">
        <f>((-0.25*B27^2)-($N$12^2)+(2*$N$12*thk)-thk^2)/(4*($N$12+0.00000001)-4*thk)</f>
        <v>17.135619495858109</v>
      </c>
      <c r="O15" s="7">
        <f>-N15</f>
        <v>-17.135619495858109</v>
      </c>
      <c r="P15" s="7">
        <f>(1.314-$B$59*thk+$B$60*P12)*((-0.25*B27^2)-(P12^2)+(2*P12*thk)-thk^2)/(4*(P12+0.00000001)-4*thk)</f>
        <v>132.14758892951781</v>
      </c>
      <c r="S15">
        <v>4</v>
      </c>
      <c r="T15">
        <v>8</v>
      </c>
      <c r="U15">
        <v>2</v>
      </c>
      <c r="V15">
        <v>3</v>
      </c>
    </row>
    <row r="16" spans="1:23" x14ac:dyDescent="0.25">
      <c r="A16" s="57" t="s">
        <v>280</v>
      </c>
      <c r="B16" s="569">
        <f>Thickness_1</f>
        <v>0.25</v>
      </c>
      <c r="C16" s="54"/>
      <c r="D16" s="54"/>
      <c r="F16" s="2"/>
      <c r="G16" s="2"/>
      <c r="K16" s="2" t="s">
        <v>279</v>
      </c>
      <c r="L16" s="2" t="s">
        <v>277</v>
      </c>
      <c r="M16" s="2" t="s">
        <v>278</v>
      </c>
      <c r="N16" s="2" t="s">
        <v>277</v>
      </c>
      <c r="O16" s="2" t="s">
        <v>278</v>
      </c>
      <c r="P16" s="2" t="s">
        <v>277</v>
      </c>
      <c r="R16" s="2" t="s">
        <v>276</v>
      </c>
      <c r="S16" s="39">
        <f>SQRT(((S18)^2)-((S17)^2))</f>
        <v>17.984802612205673</v>
      </c>
      <c r="T16" s="39">
        <f>SQRT(((T18)^2)-((T17)^2))</f>
        <v>18.090052515125542</v>
      </c>
      <c r="U16" s="39">
        <f>SQRT(((U18)^2)-((U17)^2))</f>
        <v>17.557494838387395</v>
      </c>
      <c r="V16" s="39">
        <f>SQRT(((V18)^2)-((V17)^2))</f>
        <v>17.875</v>
      </c>
    </row>
    <row r="17" spans="1:23" x14ac:dyDescent="0.25">
      <c r="A17" s="57" t="s">
        <v>275</v>
      </c>
      <c r="B17" s="530">
        <f>YieldStrength_1</f>
        <v>100000</v>
      </c>
      <c r="C17" s="54"/>
      <c r="D17" s="54"/>
      <c r="F17" s="50" t="s">
        <v>274</v>
      </c>
      <c r="G17" s="50" t="s">
        <v>273</v>
      </c>
      <c r="H17" s="2"/>
      <c r="K17" s="2" t="s">
        <v>272</v>
      </c>
      <c r="L17" s="49">
        <f>1/L15-$M$7</f>
        <v>9.6164803076048508E-2</v>
      </c>
      <c r="M17" s="49">
        <f>1/M15-1/L21</f>
        <v>-0.13374935957412268</v>
      </c>
      <c r="N17" s="49">
        <f>1/N15-1/M21</f>
        <v>0.10456223594133185</v>
      </c>
      <c r="O17" s="49">
        <f>1/O15-1/N21</f>
        <v>-7.6296688632977255E-2</v>
      </c>
      <c r="P17" s="49">
        <f>1/P15-1/O21</f>
        <v>2.6349119453712884E-2</v>
      </c>
      <c r="R17" t="s">
        <v>271</v>
      </c>
      <c r="S17">
        <f>cent_dist/S15</f>
        <v>2.25</v>
      </c>
      <c r="T17">
        <f>cent_dist/T15</f>
        <v>1.125</v>
      </c>
      <c r="U17">
        <f>cent_dist/U15</f>
        <v>4.5</v>
      </c>
      <c r="V17">
        <f>cent_dist/V15</f>
        <v>3</v>
      </c>
    </row>
    <row r="18" spans="1:23" x14ac:dyDescent="0.25">
      <c r="A18" s="57" t="s">
        <v>63</v>
      </c>
      <c r="B18" s="448" t="str">
        <f>Material_1</f>
        <v>HS Steel</v>
      </c>
      <c r="C18" s="54"/>
      <c r="D18" s="54"/>
      <c r="E18" s="5" t="s">
        <v>270</v>
      </c>
      <c r="F18" s="530">
        <f>(P38*P24/VLOOKUP(model,LookupStrModel,14,FALSE))+S35/2*P24+(((M38*N38)/(9.55*O38))*(1/R38))*P24/2</f>
        <v>14447.472992861645</v>
      </c>
      <c r="G18" s="530">
        <f>(63025*N58)/N60</f>
        <v>47151.532858898267</v>
      </c>
      <c r="H18" s="2"/>
      <c r="I18" s="769" t="str">
        <f>IF(G18&gt;F18, "PINCH GEAR OK", "PINCH GEAR FAILURE")</f>
        <v>PINCH GEAR OK</v>
      </c>
      <c r="K18" s="2" t="s">
        <v>163</v>
      </c>
      <c r="L18" s="7">
        <f>IF(ABS(L17)&lt;curv_at_yld,(mod*coil_width*thk^3)/(12)*(L17),(ABS(L17)/L17)*1.5*My*(1-1/3*((curv_at_yld/L17)^2)))</f>
        <v>27353.523038396586</v>
      </c>
      <c r="M18" s="7">
        <f>IF(ABS(M17)&lt;curv_at_yld,(mod*coil_width*thk^3)/(12)*(M17),(ABS(M17)/M17)*1.5*My*(1-1/3*((curv_at_yld/M17)^2)))</f>
        <v>-27726.184680582926</v>
      </c>
      <c r="N18" s="7">
        <f>IF(ABS(N17)&lt;curv_at_yld,(mod*coil_width*thk^3)/(12)*(N17),(ABS(N17)/N17)*1.5*My*(1-1/3*((curv_at_yld/N17)^2)))</f>
        <v>27472.462414754031</v>
      </c>
      <c r="O18" s="7">
        <f>IF(ABS(O17)&lt;curv_at_yld,(mod*coil_width*thk^3)/(12)*(O17),(ABS(O17)/O17)*1.5*My*(1-1/3*((curv_at_yld/O17)^2)))</f>
        <v>-26899.413762026707</v>
      </c>
      <c r="P18" s="7">
        <f>IF(ABS(P17)&lt;curv_at_yld,(mod*coil_width*thk^3)/(12)*(P17),(ABS(P17)/P17)*1.5*My*(1-1/3*((curv_at_yld/P17)^2)))</f>
        <v>17909.167128695477</v>
      </c>
      <c r="R18" t="s">
        <v>269</v>
      </c>
      <c r="S18" s="39">
        <f>$R$12</f>
        <v>18.125</v>
      </c>
      <c r="T18" s="39">
        <f>$R$12</f>
        <v>18.125</v>
      </c>
      <c r="U18" s="39">
        <f>$R$12</f>
        <v>18.125</v>
      </c>
      <c r="V18" s="39">
        <f>$R$12</f>
        <v>18.125</v>
      </c>
    </row>
    <row r="19" spans="1:23" x14ac:dyDescent="0.25">
      <c r="E19" s="5" t="s">
        <v>268</v>
      </c>
      <c r="F19" s="530">
        <f>(P38*P25/VLOOKUP(model,LookupStrModel,14,FALSE))+(((M38*N38)/(9.55*O38))*(1/R38))*P25/2*7/11</f>
        <v>8933.2195937532924</v>
      </c>
      <c r="G19" s="530">
        <f>(63025*O58)/O60</f>
        <v>32949.855488311572</v>
      </c>
      <c r="H19" s="2"/>
      <c r="I19" s="769" t="str">
        <f>IF(G19&gt;F19, "STR GEAR OK", "STR GEAR FAILURE")</f>
        <v>STR GEAR OK</v>
      </c>
      <c r="K19" s="2" t="s">
        <v>267</v>
      </c>
      <c r="L19" s="49">
        <f>L18/My</f>
        <v>1.4588545620478179</v>
      </c>
      <c r="M19" s="49">
        <f>M18/My</f>
        <v>-1.4787298496310894</v>
      </c>
      <c r="N19" s="49">
        <f>N18/My</f>
        <v>1.4651979954535483</v>
      </c>
      <c r="O19" s="49">
        <f>O18/My</f>
        <v>-1.4346354006414244</v>
      </c>
      <c r="P19" s="49">
        <f>P18/My</f>
        <v>0.95515558019709212</v>
      </c>
      <c r="R19" t="s">
        <v>266</v>
      </c>
      <c r="S19" s="39">
        <f>(S18-S16)*(S15/2)</f>
        <v>0.280394775588654</v>
      </c>
      <c r="T19" s="39">
        <f>(T18-T16)*(T15/2)</f>
        <v>0.13978993949783103</v>
      </c>
      <c r="U19" s="39">
        <f>(U18-U16)*(U15/2)</f>
        <v>0.56750516161260478</v>
      </c>
      <c r="V19" s="39">
        <f>(V18-V16)*(V15/2)</f>
        <v>0.375</v>
      </c>
    </row>
    <row r="20" spans="1:23" x14ac:dyDescent="0.25">
      <c r="A20" s="57" t="s">
        <v>260</v>
      </c>
      <c r="B20" s="213">
        <v>50</v>
      </c>
      <c r="C20" s="54"/>
      <c r="D20" s="54"/>
      <c r="E20" s="990" t="s">
        <v>259</v>
      </c>
      <c r="F20" s="991"/>
      <c r="G20" s="766">
        <f>IF(pro_brake="NO", (S39*N38)/63000, IF(pro_brake="YES", (S38*N38)/63000))</f>
        <v>37.825334485780473</v>
      </c>
      <c r="I20" s="769" t="str">
        <f>IF(HP&gt;G20, "HP SUFFICIENT", "HP INSUFFICIENT")</f>
        <v>HP SUFFICIENT</v>
      </c>
      <c r="K20" s="2" t="s">
        <v>264</v>
      </c>
      <c r="L20" s="49">
        <f>-curv_at_yld*L19</f>
        <v>-4.0244263780629459E-2</v>
      </c>
      <c r="M20" s="49">
        <f>-curv_at_yld*M19</f>
        <v>4.0792547576030055E-2</v>
      </c>
      <c r="N20" s="49">
        <f>-curv_at_yld*N19</f>
        <v>-4.0419255046994437E-2</v>
      </c>
      <c r="O20" s="49">
        <f>-curv_at_yld*O19</f>
        <v>3.9576148983211705E-2</v>
      </c>
      <c r="P20" s="49">
        <f>-curv_at_yld*P19</f>
        <v>-2.6349119453712887E-2</v>
      </c>
      <c r="R20" t="s">
        <v>263</v>
      </c>
      <c r="S20" s="39">
        <f>thk-S19</f>
        <v>-3.0394775588653999E-2</v>
      </c>
      <c r="T20" s="39">
        <f>thk-T19</f>
        <v>0.11021006050216897</v>
      </c>
      <c r="U20" s="39">
        <f>thk-U19</f>
        <v>-0.31750516161260478</v>
      </c>
      <c r="V20" s="39">
        <f>thk-V19</f>
        <v>-0.125</v>
      </c>
    </row>
    <row r="21" spans="1:23" ht="17.25" x14ac:dyDescent="0.25">
      <c r="A21" s="57" t="s">
        <v>262</v>
      </c>
      <c r="B21" s="213">
        <v>1</v>
      </c>
      <c r="C21" s="54"/>
      <c r="D21" s="54"/>
      <c r="F21" s="2"/>
      <c r="G21" s="7"/>
      <c r="K21" s="2" t="s">
        <v>261</v>
      </c>
      <c r="L21" s="7">
        <f>1/((1/L15)+L20)</f>
        <v>21.389208609731995</v>
      </c>
      <c r="M21" s="7">
        <f>1/((1/M15)+M20)</f>
        <v>-21.643024068223788</v>
      </c>
      <c r="N21" s="7">
        <f>1/((1/N15)+N20)</f>
        <v>55.745347425892597</v>
      </c>
      <c r="O21" s="7">
        <f>1/((1/O15)+O20)</f>
        <v>-53.242968354337592</v>
      </c>
      <c r="P21" s="7">
        <f>1/((1/P15)+P20)</f>
        <v>-53.242968354337577</v>
      </c>
      <c r="R21" s="43">
        <f>L15</f>
        <v>11.4946741233283</v>
      </c>
      <c r="S21" s="39">
        <f>R21-(SQRT(((R21+(thk/4))^2)-((cent_dist/4)^2)))</f>
        <v>0.15863540969780843</v>
      </c>
      <c r="T21" s="39">
        <f>ABS(S21)*-2</f>
        <v>-0.31727081939561685</v>
      </c>
      <c r="U21" s="39"/>
      <c r="V21" s="39"/>
    </row>
    <row r="22" spans="1:23" x14ac:dyDescent="0.25">
      <c r="A22" s="57" t="s">
        <v>265</v>
      </c>
      <c r="B22" s="213">
        <v>120</v>
      </c>
      <c r="C22" s="54"/>
      <c r="D22" s="54"/>
      <c r="F22" s="2"/>
      <c r="G22" s="2"/>
      <c r="I22" s="769" t="str">
        <f>IF(fpm&gt;=ReqMaxFPM_1*FPMBuffer,"FPM SUFFICIENT", "FPM NOT SUFFICIENT")</f>
        <v>FPM SUFFICIENT</v>
      </c>
      <c r="K22" t="s">
        <v>258</v>
      </c>
      <c r="L22" s="7">
        <f>1/(1-L14)</f>
        <v>3.4859741115067591</v>
      </c>
      <c r="M22" s="7"/>
      <c r="N22" s="7">
        <f>1/(1-N14)</f>
        <v>3.7903810528732786</v>
      </c>
      <c r="O22" s="7"/>
      <c r="P22" s="7" t="e">
        <f>1/(1-P14)</f>
        <v>#VALUE!</v>
      </c>
      <c r="T22" s="39">
        <f>L12/T21</f>
        <v>0.92489915797584765</v>
      </c>
    </row>
    <row r="23" spans="1:23" x14ac:dyDescent="0.25">
      <c r="A23" s="57" t="s">
        <v>257</v>
      </c>
      <c r="B23" s="693" t="s">
        <v>51</v>
      </c>
      <c r="F23" s="2"/>
      <c r="G23" s="2"/>
      <c r="L23" t="s">
        <v>256</v>
      </c>
      <c r="M23" s="2" t="s">
        <v>255</v>
      </c>
      <c r="N23" t="s">
        <v>226</v>
      </c>
      <c r="O23" t="s">
        <v>225</v>
      </c>
      <c r="P23" t="s">
        <v>224</v>
      </c>
      <c r="Q23" t="s">
        <v>223</v>
      </c>
    </row>
    <row r="24" spans="1:23" x14ac:dyDescent="0.25">
      <c r="C24" s="54"/>
      <c r="D24" s="54"/>
      <c r="E24" s="5" t="s">
        <v>254</v>
      </c>
      <c r="F24" s="58">
        <f>IF(coil_od=72, (((72^2)-(coil_id^2))/4)*PI()*VLOOKUP(material,LookupMaterial,4,FALSE)*coil_width, (((coil_od^2)-(coil_id^2))/4)*PI()*VLOOKUP(material,LookupMaterial,4,FALSE)*coil_width)</f>
        <v>19139.914480954139</v>
      </c>
      <c r="G24" s="2"/>
      <c r="I24" s="27" t="str" cm="1">
        <f t="array" ref="I24">_xlfn.IFS(RollSelection="7 Roll Str. Backbend", Str1_7YieldMet, RollSelection="9 Roll Str. Backbend", Str1_9YieldMet, RollSelection="11 Roll Str. Backbend", Str1_11YieldMet)</f>
        <v>OK</v>
      </c>
      <c r="K24" s="2" t="s">
        <v>253</v>
      </c>
      <c r="L24" s="2">
        <f>str_width+2</f>
        <v>44</v>
      </c>
      <c r="M24" s="2">
        <v>4</v>
      </c>
      <c r="N24" s="13">
        <f>((pinch_dia^2)/4)*PI()*L24*M24*0.283</f>
        <v>1738.8010547320055</v>
      </c>
      <c r="O24" s="49">
        <f>((N24/32.3)*0.5*(((pinch_dia*0.5)^2)/144)*12)</f>
        <v>24.925108060779742</v>
      </c>
      <c r="P24" s="7">
        <f>1750/((fpm*12)/(pinch_dia*PI()))</f>
        <v>25.45399089416355</v>
      </c>
      <c r="Q24" s="49">
        <f>O24/(P24^2)</f>
        <v>3.8470274131590119E-2</v>
      </c>
    </row>
    <row r="25" spans="1:23" x14ac:dyDescent="0.25">
      <c r="A25" s="5" t="s">
        <v>252</v>
      </c>
      <c r="B25" s="766">
        <f>VLOOKUP(model, LookupStrModel, 2,FALSE)</f>
        <v>5</v>
      </c>
      <c r="C25" s="54"/>
      <c r="D25" s="54"/>
      <c r="E25" s="5" t="s">
        <v>251</v>
      </c>
      <c r="F25" s="53">
        <f>MIN(V31:W31)</f>
        <v>72</v>
      </c>
      <c r="I25" s="27" t="str">
        <f>IFERROR(IF(AND(jack_force&gt;F14,G18&gt;F18,G19&gt;F19,HP&gt;G20,fpm&gt;=ReqMaxFPM_1*FPMBuffer,I24="OK"), "OK", "NOT OK"), "NOT OK")</f>
        <v>OK</v>
      </c>
      <c r="K25" s="2" t="s">
        <v>189</v>
      </c>
      <c r="L25" s="2">
        <f>str_width+2</f>
        <v>44</v>
      </c>
      <c r="M25" s="2">
        <f>B11</f>
        <v>7</v>
      </c>
      <c r="N25" s="13">
        <f>((str_dia^2)/4)*PI()*L25*M25*0.283</f>
        <v>1711.4611378593795</v>
      </c>
      <c r="O25" s="49">
        <f>((N25/32.3)*0.5*(((str_dia*0.5)^2)/144)*12)</f>
        <v>13.798545035630962</v>
      </c>
      <c r="P25" s="7">
        <f>1750/((fpm*12)/(str_dia*PI()))</f>
        <v>19.089538693687981</v>
      </c>
      <c r="Q25" s="49">
        <f>O25/(P25^2)</f>
        <v>3.7865389464674083E-2</v>
      </c>
    </row>
    <row r="26" spans="1:23" x14ac:dyDescent="0.25">
      <c r="A26" s="5" t="s">
        <v>250</v>
      </c>
      <c r="B26" s="766">
        <f>VLOOKUP(model, LookupStrModel, 4,FALSE)</f>
        <v>6.6669999999999998</v>
      </c>
      <c r="C26" s="54"/>
      <c r="D26" s="54"/>
    </row>
    <row r="27" spans="1:23" x14ac:dyDescent="0.25">
      <c r="A27" s="5" t="s">
        <v>249</v>
      </c>
      <c r="B27" s="766">
        <f>VLOOKUP(model, LookupStrModel, 3,FALSE)</f>
        <v>9</v>
      </c>
      <c r="C27" s="54"/>
      <c r="D27" s="54"/>
      <c r="E27" s="5" t="s">
        <v>248</v>
      </c>
      <c r="F27" s="53">
        <f>str_tq</f>
        <v>898.84491978609628</v>
      </c>
      <c r="K27" s="2" t="s">
        <v>247</v>
      </c>
      <c r="L27" t="s">
        <v>246</v>
      </c>
      <c r="O27" t="s">
        <v>245</v>
      </c>
      <c r="P27" t="s">
        <v>244</v>
      </c>
    </row>
    <row r="28" spans="1:23" x14ac:dyDescent="0.25">
      <c r="A28" s="5" t="s">
        <v>243</v>
      </c>
      <c r="B28" s="767">
        <f>VLOOKUP(model, LookupStrModel, 5,FALSE)</f>
        <v>60000</v>
      </c>
      <c r="C28" s="54"/>
      <c r="D28" s="54"/>
      <c r="E28" s="5" t="s">
        <v>242</v>
      </c>
      <c r="F28" s="53">
        <f>IF(pro_brake="YES", $Q$38, IF(pro_brake="NO", $Q$39))</f>
        <v>413.40474773823451</v>
      </c>
      <c r="K28" s="2">
        <f>IF(M25&lt;7, (M25/3.5)+0.1, IF(M25&lt;9, M25/3.5, IF(M25&lt;11,(M25/3.5)-0.1,3)))</f>
        <v>2</v>
      </c>
      <c r="L28" s="56">
        <f>(16/15)*((yield*coil_width*thk*thk)/cent_dist)</f>
        <v>13333.333333333334</v>
      </c>
      <c r="P28">
        <f>(S38*N38)/63000</f>
        <v>37.825334485780473</v>
      </c>
      <c r="U28" t="s">
        <v>241</v>
      </c>
    </row>
    <row r="29" spans="1:23" x14ac:dyDescent="0.25">
      <c r="A29" s="5" t="s">
        <v>240</v>
      </c>
      <c r="B29" s="569">
        <f>VLOOKUP(model, LookupStrModel, 6,FALSE)</f>
        <v>-1.25</v>
      </c>
      <c r="C29" s="54"/>
      <c r="E29" s="5" t="s">
        <v>239</v>
      </c>
      <c r="F29" s="53">
        <f>IF(pro_brake="YES", $S$34, IF(pro_brake="NO", $S$35))</f>
        <v>49.462373963766126</v>
      </c>
      <c r="G29" t="s">
        <v>79</v>
      </c>
      <c r="V29" t="s">
        <v>238</v>
      </c>
      <c r="W29" t="s">
        <v>237</v>
      </c>
    </row>
    <row r="30" spans="1:23" x14ac:dyDescent="0.25">
      <c r="A30" s="5" t="s">
        <v>236</v>
      </c>
      <c r="B30" s="530">
        <f>VLOOKUP(B18, LookupMaterial, 3, FALSE)</f>
        <v>29000000</v>
      </c>
      <c r="L30" t="s">
        <v>235</v>
      </c>
      <c r="N30" t="s">
        <v>226</v>
      </c>
      <c r="O30" t="s">
        <v>225</v>
      </c>
      <c r="P30" t="s">
        <v>224</v>
      </c>
      <c r="Q30" t="s">
        <v>223</v>
      </c>
      <c r="U30" t="s">
        <v>234</v>
      </c>
      <c r="V30" s="41">
        <f>(((coil_od^2)-(coil_id^2))/4)*PI()*VLOOKUP(material,LookupMaterial,4,FALSE)*coil_width</f>
        <v>19139.914480954139</v>
      </c>
      <c r="W30" s="41">
        <f>((($W$31^2)-(coil_id^2))/4)*PI()*VLOOKUP(material,LookupMaterial,4,FALSE)*coil_width</f>
        <v>19139.914480954139</v>
      </c>
    </row>
    <row r="31" spans="1:23" x14ac:dyDescent="0.25">
      <c r="L31" s="2">
        <v>96</v>
      </c>
      <c r="N31" s="13">
        <f>thk*coil_width*VLOOKUP(material,LookupMaterial,4,FALSE)*L31</f>
        <v>122.25599999999999</v>
      </c>
      <c r="O31" s="49">
        <f>((N31/32.3)*(((pinch_dia*0.5)^2)/144)*12)</f>
        <v>3.504994436006192</v>
      </c>
      <c r="P31" s="7">
        <f>P24</f>
        <v>25.45399089416355</v>
      </c>
      <c r="Q31" s="49">
        <f>O31/(P31^2)</f>
        <v>5.4097296771614522E-3</v>
      </c>
      <c r="U31" t="s">
        <v>233</v>
      </c>
      <c r="V31" s="41">
        <f>SQRT((coil_id^2)+((4*Coil_weight)/(PI()*VLOOKUP(material,LookupMaterial,4,FALSE)*coil_width)))</f>
        <v>73.477734067880377</v>
      </c>
      <c r="W31" s="41">
        <v>72</v>
      </c>
    </row>
    <row r="32" spans="1:23" ht="14.25" customHeight="1" x14ac:dyDescent="0.25">
      <c r="A32" s="52" t="s">
        <v>232</v>
      </c>
      <c r="B32" s="50" t="s">
        <v>231</v>
      </c>
      <c r="C32" s="50" t="s">
        <v>230</v>
      </c>
      <c r="E32" s="695" t="s">
        <v>1396</v>
      </c>
      <c r="F32" s="448" t="str">
        <f>Str1OK</f>
        <v>OK</v>
      </c>
    </row>
    <row r="33" spans="1:19" ht="14.25" customHeight="1" x14ac:dyDescent="0.25">
      <c r="A33" s="5" t="s">
        <v>229</v>
      </c>
      <c r="B33" s="448">
        <f>VLOOKUP(model,LookupStrModel,9,FALSE)</f>
        <v>24</v>
      </c>
      <c r="C33" s="448">
        <f>VLOOKUP(model,LookupStrModel,10,FALSE)</f>
        <v>4</v>
      </c>
      <c r="E33" s="695" t="s">
        <v>1104</v>
      </c>
      <c r="F33" s="448" t="str">
        <f>IF(CoilWidth_2 &gt; 0, Str2OK, "OK")</f>
        <v>OK</v>
      </c>
      <c r="L33" t="s">
        <v>228</v>
      </c>
      <c r="M33" s="2" t="s">
        <v>227</v>
      </c>
      <c r="N33" t="s">
        <v>226</v>
      </c>
      <c r="O33" t="s">
        <v>225</v>
      </c>
      <c r="P33" t="s">
        <v>224</v>
      </c>
      <c r="Q33" t="s">
        <v>223</v>
      </c>
      <c r="S33" t="s">
        <v>222</v>
      </c>
    </row>
    <row r="34" spans="1:19" ht="14.25" customHeight="1" x14ac:dyDescent="0.25">
      <c r="A34" s="5" t="s">
        <v>221</v>
      </c>
      <c r="B34" s="448">
        <f>VLOOKUP(model,LookupStrModel,11,FALSE)</f>
        <v>18</v>
      </c>
      <c r="C34" s="448">
        <f>VLOOKUP(model,LookupStrModel,12,FALSE)</f>
        <v>4</v>
      </c>
      <c r="E34" s="695" t="s">
        <v>1105</v>
      </c>
      <c r="F34" s="448" t="str">
        <f>IF(CoilWidth_3 &gt; 0, Str3OK, "OK")</f>
        <v>OK</v>
      </c>
      <c r="L34" t="s">
        <v>212</v>
      </c>
      <c r="M34" s="13">
        <f>((((((coil_od^2)/4)*PI()*coil_width*VLOOKUP(material,LookupMaterial,4,FALSE))/32.3*0.5*(((coil_od*0.5)^2)/144))*12)*((fpm*12)/(coil_od*PI())))/(9.55*O38)</f>
        <v>11557.178156354854</v>
      </c>
      <c r="N34" s="13">
        <f>(((coil_od^2)-(coil_id^2))/4)*PI()*VLOOKUP(material,LookupMaterial,4,FALSE)*coil_width</f>
        <v>19139.914480954139</v>
      </c>
      <c r="O34" s="13">
        <f>(((((coil_od^2)*PI())/4*VLOOKUP(material,LookupMaterial,4,FALSE)*coil_width)/32.3)*0.5*(((coil_od*0.5)^2)/144))*12</f>
        <v>34674.088422582361</v>
      </c>
      <c r="P34" s="13">
        <f>(coil_od/pinch_dia)*P24</f>
        <v>274.88935718910687</v>
      </c>
      <c r="Q34" s="49">
        <f>(O34/(P34^2))</f>
        <v>0.45886950931528181</v>
      </c>
      <c r="S34" s="13">
        <f>(M34/((coil_od/pinch_dia)*P24))/R38</f>
        <v>49.462373963766126</v>
      </c>
    </row>
    <row r="35" spans="1:19" ht="14.25" customHeight="1" thickBot="1" x14ac:dyDescent="0.3">
      <c r="A35" s="5" t="s">
        <v>220</v>
      </c>
      <c r="B35" s="448">
        <f>VLOOKUP(model,LookupStrModel,13,FALSE)</f>
        <v>4</v>
      </c>
      <c r="C35" s="51"/>
      <c r="E35" s="695" t="s">
        <v>1281</v>
      </c>
      <c r="F35" s="712" t="str">
        <f>IF(CoilWidth_4, Str4OK, "OK")</f>
        <v>OK</v>
      </c>
      <c r="L35" t="s">
        <v>211</v>
      </c>
      <c r="N35" s="2"/>
      <c r="O35" s="13">
        <f>(((((coil_id^2)*PI())/4*VLOOKUP(material,LookupMaterial,4,FALSE)*coil_width)/32.3)*0.5*(((coil_id*0.5)^2)/144))*12</f>
        <v>206.44056988372557</v>
      </c>
      <c r="P35" s="13">
        <f>(coil_id/pinch_dia)*P24</f>
        <v>76.358154774751924</v>
      </c>
      <c r="Q35" s="49">
        <f>(O35/(P35^2))</f>
        <v>3.5406597940993954E-2</v>
      </c>
      <c r="S35" s="13">
        <f>(M34/((coil_id/pinch_dia)*P24))/R38</f>
        <v>178.06454626955804</v>
      </c>
    </row>
    <row r="36" spans="1:19" ht="14.25" customHeight="1" x14ac:dyDescent="0.25">
      <c r="A36" s="5" t="s">
        <v>219</v>
      </c>
      <c r="B36" s="448">
        <v>20</v>
      </c>
      <c r="C36" s="15"/>
      <c r="E36" s="720" t="s">
        <v>1120</v>
      </c>
      <c r="F36" s="768" t="str">
        <f>(IF(AND($F$32="OK", $F$33="OK", $F$34="OK", $F$35="OK"), "OK", "NOT OK"))</f>
        <v>OK</v>
      </c>
    </row>
    <row r="37" spans="1:19" ht="14.25" customHeight="1" x14ac:dyDescent="0.25">
      <c r="E37" s="695" t="s">
        <v>1399</v>
      </c>
      <c r="F37" s="772" t="str">
        <f>IF(OR('Str. Utility (1)'!$I$14="Back up Rolls Recommended", 'Str. Utility (2)'!$I$14="Back up Rolls Recommended", 'Str. Utility (3)'!$I$14="Back up Rolls Recommended", 'Str. Utility (4)'!$I$14="Back up Rolls Recommended" ),"Back up Rolls Recommended", "Not Required")</f>
        <v>Not Required</v>
      </c>
      <c r="G37" t="s">
        <v>79</v>
      </c>
      <c r="M37" s="2">
        <v>0.32</v>
      </c>
      <c r="N37" t="s">
        <v>218</v>
      </c>
      <c r="O37" t="s">
        <v>217</v>
      </c>
      <c r="P37" t="s">
        <v>216</v>
      </c>
      <c r="Q37" t="s">
        <v>215</v>
      </c>
      <c r="R37" t="s">
        <v>214</v>
      </c>
      <c r="S37" t="s">
        <v>213</v>
      </c>
    </row>
    <row r="38" spans="1:19" x14ac:dyDescent="0.25">
      <c r="L38" t="s">
        <v>212</v>
      </c>
      <c r="M38" s="49">
        <f>SUM(Q24:Q34)</f>
        <v>0.54061490258870748</v>
      </c>
      <c r="N38" s="2">
        <v>1750</v>
      </c>
      <c r="O38" s="7">
        <f>(fpm/60)/accel</f>
        <v>2</v>
      </c>
      <c r="P38" s="7">
        <f>(((((((0.667*yield*coil_width*(thk^2))/cent_dist)*0.35*fpm*K28)/33000)*5250)/N38)*12)/R38</f>
        <v>898.84491978609628</v>
      </c>
      <c r="Q38" s="13">
        <f>(((M38*N38)/(9.55*O38))*(1/R38))+((M41*N38)/(9.55*O38))</f>
        <v>413.40474773823451</v>
      </c>
      <c r="R38" s="2">
        <v>0.85</v>
      </c>
      <c r="S38" s="41">
        <f>S34+P38+Q38</f>
        <v>1361.7120414880969</v>
      </c>
    </row>
    <row r="39" spans="1:19" x14ac:dyDescent="0.25">
      <c r="L39" t="s">
        <v>211</v>
      </c>
      <c r="M39" s="49">
        <f>SUM(Q24:Q32)+Q35</f>
        <v>0.1171519912144196</v>
      </c>
      <c r="N39" s="2"/>
      <c r="O39" s="2"/>
      <c r="P39" s="2"/>
      <c r="Q39" s="13">
        <f>(((M39*N38)/(9.55*O38))*(1/R38))+((M41*N38)/(9.55*O38))</f>
        <v>367.75891497537629</v>
      </c>
      <c r="R39" s="2"/>
      <c r="S39" s="41">
        <f>S35+P38+Q39</f>
        <v>1444.6683810310305</v>
      </c>
    </row>
    <row r="40" spans="1:19" x14ac:dyDescent="0.25">
      <c r="M40" s="2" t="s">
        <v>210</v>
      </c>
    </row>
    <row r="41" spans="1:19" x14ac:dyDescent="0.25">
      <c r="M41" s="30">
        <f>Lookups!$G$580</f>
        <v>3.8759999999999999</v>
      </c>
    </row>
    <row r="47" spans="1:19" x14ac:dyDescent="0.25">
      <c r="L47" t="s">
        <v>209</v>
      </c>
      <c r="R47" t="s">
        <v>208</v>
      </c>
    </row>
    <row r="48" spans="1:19" x14ac:dyDescent="0.25">
      <c r="L48" t="s">
        <v>207</v>
      </c>
      <c r="N48">
        <f>IF(model="SPGPS-810", 165100, IF(model="CPPS-306", 165100, IF(model="CPPS-406", 165100, IF(model="CPPS-507", 165100, 128000))))</f>
        <v>165100</v>
      </c>
    </row>
    <row r="49" spans="1:22" hidden="1" x14ac:dyDescent="0.25">
      <c r="L49" t="s">
        <v>206</v>
      </c>
      <c r="N49">
        <f>$N$48/3</f>
        <v>55033.333333333336</v>
      </c>
      <c r="Q49" t="s">
        <v>205</v>
      </c>
      <c r="S49" s="43">
        <f>B36*(PI()/180)</f>
        <v>0.3490658503988659</v>
      </c>
      <c r="U49" t="s">
        <v>204</v>
      </c>
      <c r="V49" s="44">
        <f>-1*(5/384*V50*((str_width+1.75)^3)/mod/V52)</f>
        <v>-2.9793355656766344E-4</v>
      </c>
    </row>
    <row r="50" spans="1:22" hidden="1" x14ac:dyDescent="0.25">
      <c r="L50" t="s">
        <v>203</v>
      </c>
      <c r="N50">
        <f>N60</f>
        <v>68.751497840806749</v>
      </c>
      <c r="O50" s="43">
        <f>O60</f>
        <v>91.673247220931714</v>
      </c>
      <c r="Q50" t="s">
        <v>202</v>
      </c>
      <c r="S50" s="41">
        <f>P38/COS(S49)</f>
        <v>956.53078453925787</v>
      </c>
      <c r="U50" t="s">
        <v>201</v>
      </c>
      <c r="V50" s="44">
        <f>((str_dia/2)^2)*PI()*(str_width+1.75)*0.283</f>
        <v>243.10527526411641</v>
      </c>
    </row>
    <row r="51" spans="1:22" hidden="1" x14ac:dyDescent="0.25">
      <c r="B51"/>
      <c r="C51" s="5" t="s">
        <v>200</v>
      </c>
      <c r="L51" t="s">
        <v>199</v>
      </c>
      <c r="N51">
        <f>IF(B33=12, 0.245, IF(B33=13, 0.261, IF(B33=14, 0.277, IF(B33=15, 0.29, IF(B33=16, 0.296, IF(B33=17, 0.302, IF(B33=18, 0.314, IF(B33=19, 0.314, IF(B33=20, 0.321, IF(B33=21, 0.327, IF(B33=22, 0.33, IF(B33=24, 0.337, IF(B33=25, 0.341, IF(B33=26, 0.346, IF(B33=27, 0.348, IF(B33=28, 0.352, IF(B33=30, 0.359,IF(B33=31, 0.362, IF(B33=32, 0.365, IF(B33=34, 0.37,))))))))))))))))))))</f>
        <v>0.33700000000000002</v>
      </c>
      <c r="O51">
        <f>IF(B34=12, 0.245, IF(B34=13, 0.261, IF(B34=14, 0.277, IF(B34=15, 0.29, IF(B34=16, 0.296, IF(B34=17, 0.302, IF(B34=18, 0.314, IF(B34=19, 0.314, IF(B34=20, 0.321, IF(B34=21, 0.327, IF(B34=22, 0.33, IF(B34=24, 0.337, IF(B34=25, 0.0341, IF(B34=26, 0.346, IF(B34=27, 0.348, IF(B34=28, 0.352, IF(B34=30, 0.359, IF(B34=31, 0.362, IF(B34=32, 0.365, IF(B34=34, 0.37,))))))))))))))))))))</f>
        <v>0.314</v>
      </c>
      <c r="Q51" t="s">
        <v>198</v>
      </c>
      <c r="S51" s="41">
        <f>S50+L13</f>
        <v>17165.012824958034</v>
      </c>
      <c r="U51" t="s">
        <v>197</v>
      </c>
      <c r="V51" s="44">
        <f>PI()*(str_dia^3)/32</f>
        <v>12.271846303085129</v>
      </c>
    </row>
    <row r="52" spans="1:22" hidden="1" x14ac:dyDescent="0.25">
      <c r="B52" s="5" t="s">
        <v>196</v>
      </c>
      <c r="C52" s="48">
        <f>IF(str_width=coil_width, V58, V58*0.85)</f>
        <v>1.2086090472336868E-2</v>
      </c>
      <c r="D52" s="39"/>
      <c r="F52" s="47" t="str">
        <f>IF(OR(C52&gt;(thk*0.05),C53&gt;=32000), "NEED BACKUPS", "NO BACKUPS REQ.")</f>
        <v>NO BACKUPS REQ.</v>
      </c>
      <c r="H52" s="33"/>
      <c r="I52" s="46"/>
      <c r="J52" s="33"/>
      <c r="Q52" t="s">
        <v>179</v>
      </c>
      <c r="S52" s="39">
        <f>(PI()*((str_dia/2)^4))/4</f>
        <v>30.679615757712824</v>
      </c>
      <c r="U52" t="s">
        <v>193</v>
      </c>
      <c r="V52" s="44">
        <f>PI()*(str_dia^4)/64</f>
        <v>30.679615757712824</v>
      </c>
    </row>
    <row r="53" spans="1:22" hidden="1" x14ac:dyDescent="0.25">
      <c r="B53" s="5" t="s">
        <v>192</v>
      </c>
      <c r="C53" s="45">
        <f>ABS(S59/S53)*1.25</f>
        <v>9022.1276784750662</v>
      </c>
      <c r="H53" s="33"/>
      <c r="I53" s="33"/>
      <c r="J53" s="33"/>
      <c r="N53" t="s">
        <v>190</v>
      </c>
      <c r="O53" t="s">
        <v>189</v>
      </c>
      <c r="Q53" t="s">
        <v>188</v>
      </c>
      <c r="S53" s="39">
        <f>S52/(S56)</f>
        <v>12.27184630308513</v>
      </c>
      <c r="U53" t="s">
        <v>187</v>
      </c>
      <c r="V53" s="44">
        <f>((str_width+1.75)-coil_width)/2</f>
        <v>12.875</v>
      </c>
    </row>
    <row r="54" spans="1:22" hidden="1" x14ac:dyDescent="0.25">
      <c r="H54" s="33"/>
      <c r="I54" s="33"/>
      <c r="J54" s="33"/>
      <c r="L54" t="s">
        <v>185</v>
      </c>
      <c r="N54">
        <f>B33/C33</f>
        <v>6</v>
      </c>
      <c r="O54">
        <f>B34/C34</f>
        <v>4.5</v>
      </c>
      <c r="Q54" t="s">
        <v>184</v>
      </c>
      <c r="S54">
        <f>str_width+1.75</f>
        <v>43.75</v>
      </c>
      <c r="U54" t="s">
        <v>183</v>
      </c>
      <c r="V54" s="44">
        <f>F14/2*2</f>
        <v>15866.666666666668</v>
      </c>
    </row>
    <row r="55" spans="1:22" hidden="1" x14ac:dyDescent="0.25">
      <c r="H55" s="33"/>
      <c r="I55" s="33"/>
      <c r="J55" s="33"/>
      <c r="L55" t="s">
        <v>181</v>
      </c>
      <c r="Q55" t="s">
        <v>180</v>
      </c>
      <c r="S55">
        <f>((str_width+1.75)-coil_width)/2</f>
        <v>12.875</v>
      </c>
      <c r="U55" t="s">
        <v>179</v>
      </c>
      <c r="V55" s="44">
        <f>(coil_width*(thk^3)/12)</f>
        <v>2.34375E-2</v>
      </c>
    </row>
    <row r="56" spans="1:22" hidden="1" x14ac:dyDescent="0.25">
      <c r="H56" s="33"/>
      <c r="I56" s="33"/>
      <c r="J56" s="33"/>
      <c r="L56" t="s">
        <v>178</v>
      </c>
      <c r="N56">
        <f>(N49*B35*N51*600)/(C33*(600+N57))</f>
        <v>15717.266764120166</v>
      </c>
      <c r="O56">
        <f>(N49*B35*O51*600)/(C34*(600+O57))</f>
        <v>14644.463276836159</v>
      </c>
      <c r="Q56" t="s">
        <v>177</v>
      </c>
      <c r="S56">
        <f>str_dia/2</f>
        <v>2.5</v>
      </c>
      <c r="U56" t="s">
        <v>176</v>
      </c>
      <c r="V56" s="44">
        <f>V55/(thk/2)</f>
        <v>0.1875</v>
      </c>
    </row>
    <row r="57" spans="1:22" hidden="1" x14ac:dyDescent="0.25">
      <c r="H57" s="33"/>
      <c r="I57" s="33"/>
      <c r="J57" s="33"/>
      <c r="L57" t="s">
        <v>175</v>
      </c>
      <c r="N57" s="43">
        <f>(PI()*N54*$N$50)/12</f>
        <v>107.99460026998651</v>
      </c>
      <c r="O57" s="43">
        <f>(PI()*O54*O50)/12</f>
        <v>108</v>
      </c>
      <c r="Q57" t="s">
        <v>174</v>
      </c>
      <c r="S57">
        <f>S54-S55</f>
        <v>30.875</v>
      </c>
    </row>
    <row r="58" spans="1:22" hidden="1" x14ac:dyDescent="0.25">
      <c r="H58" s="33"/>
      <c r="I58" s="33"/>
      <c r="J58" s="33"/>
      <c r="L58" t="s">
        <v>172</v>
      </c>
      <c r="N58">
        <f>(N56*N57)/33000</f>
        <v>51.435755803875807</v>
      </c>
      <c r="O58">
        <f>(O56*O57)/33000</f>
        <v>47.927334360554703</v>
      </c>
      <c r="Q58" t="s">
        <v>171</v>
      </c>
      <c r="S58" s="43">
        <f>(S51/(coil_width*((str_width+1.75)^2)))*(((1/(2*(str_width+1.75))*((S55^4)-(((str_width+1.75)-S55)^4)))-(S55^3)+(((str_width+1.75)-S55)^3)))</f>
        <v>8582.5064124790169</v>
      </c>
      <c r="U58" t="s">
        <v>170</v>
      </c>
      <c r="V58" s="39">
        <f>ABS(V63-V62)</f>
        <v>1.4218929967455139E-2</v>
      </c>
    </row>
    <row r="59" spans="1:22" hidden="1" x14ac:dyDescent="0.25">
      <c r="A59" t="s">
        <v>169</v>
      </c>
      <c r="B59" s="4">
        <f>VLOOKUP(model,LookupStrModel, 7, FALSE)</f>
        <v>0.18</v>
      </c>
      <c r="E59" t="s">
        <v>138</v>
      </c>
      <c r="Q59" t="s">
        <v>168</v>
      </c>
      <c r="S59" s="43">
        <f>(S51/(2*coil_width*S54))*(((S55^4-S57^4)/(2*S54))-(2/3*S55^3)+(2/3*S57^3))</f>
        <v>88574.531357645028</v>
      </c>
      <c r="U59" t="s">
        <v>167</v>
      </c>
      <c r="V59" s="39">
        <f>-1*(V54*V53/(24*mod*V52)*((3*((str_width+1.75)^2))-(4*(V53^2))))+V49</f>
        <v>-4.8889699338708729E-2</v>
      </c>
    </row>
    <row r="60" spans="1:22" hidden="1" x14ac:dyDescent="0.25">
      <c r="A60" t="s">
        <v>166</v>
      </c>
      <c r="B60" s="4">
        <f>VLOOKUP(model,LookupStrModel, 8, FALSE)</f>
        <v>0.18</v>
      </c>
      <c r="E60" s="34">
        <v>0.33</v>
      </c>
      <c r="L60" s="992" t="s">
        <v>165</v>
      </c>
      <c r="M60" s="992"/>
      <c r="N60">
        <f>(fpm*12)/(PI()*pinch_dia)</f>
        <v>68.751497840806749</v>
      </c>
      <c r="O60">
        <f>(fpm*12)/(PI()*str_dia)</f>
        <v>91.673247220931714</v>
      </c>
      <c r="U60" t="s">
        <v>164</v>
      </c>
      <c r="V60" s="39">
        <f>-1*(V54*(V53^2)/6/mod/V52*(3*(str_width+1.75)-4*V53)+(V49*V53/(str_width+1.75)/2))</f>
        <v>-3.9248845681014131E-2</v>
      </c>
    </row>
    <row r="61" spans="1:22" hidden="1" x14ac:dyDescent="0.25">
      <c r="Q61" t="s">
        <v>163</v>
      </c>
      <c r="R61">
        <f>(S55*S58)-S59</f>
        <v>21925.238703022318</v>
      </c>
      <c r="U61" t="s">
        <v>162</v>
      </c>
      <c r="V61" s="39">
        <f>(V54*(V53^2)/6/mod/V52*(2*V53+(3*V53)))+(V49*V53/(str_width+0.73)/2)</f>
        <v>3.167256380484041E-2</v>
      </c>
    </row>
    <row r="62" spans="1:22" hidden="1" x14ac:dyDescent="0.25">
      <c r="U62" t="s">
        <v>161</v>
      </c>
      <c r="V62" s="39">
        <f>V54*V53*(V53^2)/(8*mod*V52)+(2*V53/(str_width+0.73)*V49)</f>
        <v>4.5780763097605405E-3</v>
      </c>
    </row>
    <row r="63" spans="1:22" hidden="1" x14ac:dyDescent="0.25">
      <c r="A63" s="33"/>
      <c r="B63" s="42"/>
      <c r="C63" s="33"/>
      <c r="D63" s="33"/>
      <c r="E63" s="33"/>
      <c r="F63" s="33"/>
      <c r="G63" s="33"/>
      <c r="H63" s="33"/>
      <c r="I63" s="33"/>
      <c r="Q63" t="s">
        <v>152</v>
      </c>
      <c r="S63" s="40">
        <f>ABS(((S55^2)/(6*mod*S52))*((S58*S55)-(3*S59)))</f>
        <v>4.8200738178940756E-3</v>
      </c>
      <c r="U63" t="s">
        <v>151</v>
      </c>
      <c r="V63" s="39">
        <f>V59-V60</f>
        <v>-9.640853657694598E-3</v>
      </c>
    </row>
    <row r="64" spans="1:22" hidden="1" x14ac:dyDescent="0.25">
      <c r="A64" s="33"/>
      <c r="B64" s="37"/>
      <c r="C64" s="36"/>
      <c r="D64" s="33"/>
      <c r="E64" s="33"/>
      <c r="F64" s="33"/>
      <c r="G64" s="36"/>
      <c r="H64" s="36"/>
      <c r="J64" s="41"/>
      <c r="S64" s="40"/>
      <c r="V64" s="39"/>
    </row>
    <row r="65" spans="1:22" hidden="1" x14ac:dyDescent="0.25">
      <c r="A65" s="33"/>
      <c r="B65" s="37"/>
      <c r="C65" s="36"/>
      <c r="D65" s="33"/>
      <c r="E65" s="33"/>
      <c r="F65" s="33"/>
      <c r="G65" s="36"/>
      <c r="H65" s="36"/>
      <c r="J65" s="41"/>
      <c r="S65" s="40"/>
      <c r="V65" s="39"/>
    </row>
    <row r="66" spans="1:22" hidden="1" x14ac:dyDescent="0.25">
      <c r="A66" s="33"/>
      <c r="B66" s="37"/>
      <c r="C66" s="36"/>
      <c r="D66" s="33"/>
      <c r="E66" s="33"/>
      <c r="F66" s="33"/>
      <c r="G66" s="36"/>
      <c r="H66" s="36"/>
      <c r="J66" s="41"/>
      <c r="S66" s="40"/>
      <c r="V66" s="39"/>
    </row>
    <row r="67" spans="1:22" hidden="1" x14ac:dyDescent="0.25">
      <c r="A67" s="35"/>
      <c r="B67" s="37"/>
      <c r="C67" s="36"/>
      <c r="D67" s="36"/>
      <c r="E67" s="33"/>
      <c r="F67" s="36"/>
      <c r="G67" s="36"/>
      <c r="H67" s="36"/>
      <c r="J67" s="38"/>
    </row>
    <row r="68" spans="1:22" x14ac:dyDescent="0.25">
      <c r="A68" s="35"/>
      <c r="B68" s="37"/>
      <c r="C68" s="36"/>
      <c r="D68" s="36"/>
      <c r="E68" s="33"/>
      <c r="F68" s="36"/>
      <c r="G68" s="36"/>
      <c r="H68" s="36"/>
      <c r="J68" s="38"/>
    </row>
    <row r="69" spans="1:22" x14ac:dyDescent="0.25">
      <c r="A69" s="35"/>
      <c r="B69" s="37"/>
      <c r="C69" s="36"/>
      <c r="D69" s="36"/>
      <c r="E69" s="33"/>
      <c r="F69" s="36"/>
      <c r="G69" s="36"/>
      <c r="H69" s="36"/>
      <c r="J69" s="38"/>
      <c r="Q69" t="s">
        <v>144</v>
      </c>
      <c r="S69">
        <f>S59/S53*1.2</f>
        <v>8661.2425713360644</v>
      </c>
      <c r="V69">
        <f>IF(str_width=coil_width, ((F14*((str_width+1.25)^3))/(384*mod*V52)), V58)</f>
        <v>1.4218929967455139E-2</v>
      </c>
    </row>
    <row r="70" spans="1:22" x14ac:dyDescent="0.25">
      <c r="A70" s="35"/>
      <c r="B70" s="37"/>
      <c r="C70" s="36"/>
      <c r="D70" s="36"/>
      <c r="E70" s="33"/>
      <c r="F70" s="36"/>
      <c r="G70" s="36"/>
      <c r="H70" s="36"/>
      <c r="J70" s="38"/>
    </row>
    <row r="71" spans="1:22" x14ac:dyDescent="0.25">
      <c r="A71" s="35"/>
      <c r="B71" s="37"/>
      <c r="C71" s="36"/>
      <c r="D71" s="36"/>
      <c r="E71" s="33"/>
      <c r="F71" s="36"/>
      <c r="G71" s="36"/>
      <c r="H71" s="36"/>
      <c r="J71" s="38"/>
    </row>
    <row r="72" spans="1:22" x14ac:dyDescent="0.25">
      <c r="A72" s="35"/>
      <c r="B72" s="37"/>
      <c r="C72" s="36"/>
      <c r="D72" s="36"/>
      <c r="E72" s="33"/>
      <c r="F72" s="36"/>
      <c r="G72" s="36"/>
      <c r="H72" s="36"/>
      <c r="J72" s="38"/>
    </row>
    <row r="73" spans="1:22" x14ac:dyDescent="0.25">
      <c r="A73" s="35"/>
      <c r="B73" s="37"/>
      <c r="C73" s="36"/>
      <c r="D73" s="36"/>
      <c r="E73" s="33"/>
      <c r="F73" s="36"/>
      <c r="G73" s="36"/>
      <c r="H73" s="36"/>
      <c r="J73" s="38"/>
    </row>
    <row r="74" spans="1:22" x14ac:dyDescent="0.25">
      <c r="A74" s="35"/>
      <c r="B74" s="37"/>
      <c r="C74" s="36"/>
      <c r="D74" s="36"/>
      <c r="E74" s="33"/>
      <c r="F74" s="36"/>
      <c r="G74" s="36"/>
      <c r="H74" s="36"/>
      <c r="I74" s="33"/>
    </row>
    <row r="75" spans="1:22" x14ac:dyDescent="0.25">
      <c r="A75" s="35"/>
      <c r="B75" s="37"/>
      <c r="C75" s="36"/>
      <c r="D75" s="36"/>
      <c r="E75" s="33"/>
      <c r="F75" s="36"/>
      <c r="G75" s="33"/>
      <c r="H75" s="33"/>
    </row>
    <row r="76" spans="1:22" x14ac:dyDescent="0.25">
      <c r="A76" s="35"/>
    </row>
    <row r="77" spans="1:22" x14ac:dyDescent="0.25">
      <c r="G77" s="33"/>
      <c r="H77" s="33"/>
    </row>
    <row r="88" spans="2:4" x14ac:dyDescent="0.25">
      <c r="B88"/>
    </row>
    <row r="89" spans="2:4" x14ac:dyDescent="0.25">
      <c r="B89" s="33"/>
    </row>
    <row r="90" spans="2:4" x14ac:dyDescent="0.25">
      <c r="B90" s="33"/>
      <c r="C90" s="33"/>
    </row>
    <row r="91" spans="2:4" x14ac:dyDescent="0.25">
      <c r="B91" s="33"/>
      <c r="C91" s="33"/>
      <c r="D91" s="33"/>
    </row>
    <row r="92" spans="2:4" x14ac:dyDescent="0.25">
      <c r="B92" s="33"/>
      <c r="C92" s="33"/>
      <c r="D92" s="33"/>
    </row>
    <row r="93" spans="2:4" x14ac:dyDescent="0.25">
      <c r="B93" s="33"/>
      <c r="C93" s="33"/>
      <c r="D93" s="33"/>
    </row>
    <row r="94" spans="2:4" x14ac:dyDescent="0.25">
      <c r="B94" s="33"/>
      <c r="C94" s="33"/>
      <c r="D94" s="33"/>
    </row>
  </sheetData>
  <sheetProtection algorithmName="SHA-512" hashValue="q2FTs+EPHIKx8iEN1cTik0/sCyXf3nNVht0QB+Xn4OO0eLFvBgYB7HUC83y0Yi4h9CeUoShdLjuWNevr6SThrw==" saltValue="4YCHcPo1f+O0w/e8UkDW4g==" spinCount="100000" sheet="1" objects="1" scenarios="1"/>
  <mergeCells count="6">
    <mergeCell ref="B4:F4"/>
    <mergeCell ref="B5:F5"/>
    <mergeCell ref="B6:F6"/>
    <mergeCell ref="E20:F20"/>
    <mergeCell ref="L60:M60"/>
    <mergeCell ref="B9:C9"/>
  </mergeCells>
  <conditionalFormatting sqref="B15">
    <cfRule type="cellIs" dxfId="253" priority="39" operator="greaterThan">
      <formula>$B$10</formula>
    </cfRule>
  </conditionalFormatting>
  <conditionalFormatting sqref="C52">
    <cfRule type="cellIs" dxfId="252" priority="28" operator="lessThan">
      <formula>$B$16*0.05</formula>
    </cfRule>
    <cfRule type="cellIs" dxfId="251" priority="34" operator="greaterThan">
      <formula>$B$16*0.05</formula>
    </cfRule>
  </conditionalFormatting>
  <conditionalFormatting sqref="B10">
    <cfRule type="cellIs" dxfId="250" priority="3" operator="lessThan">
      <formula>CoilWidth_Max</formula>
    </cfRule>
    <cfRule type="expression" dxfId="249" priority="23">
      <formula>IF(AND(B9="CPPS-406",B10=18),"","")</formula>
    </cfRule>
  </conditionalFormatting>
  <conditionalFormatting sqref="G20">
    <cfRule type="expression" dxfId="248" priority="18">
      <formula>AND($B$20=7, $G$20&lt;=7.5)</formula>
    </cfRule>
    <cfRule type="cellIs" dxfId="247" priority="26" operator="lessThanOrEqual">
      <formula>$B$20</formula>
    </cfRule>
    <cfRule type="cellIs" dxfId="246" priority="27" operator="greaterThan">
      <formula>$B$20</formula>
    </cfRule>
  </conditionalFormatting>
  <conditionalFormatting sqref="F19">
    <cfRule type="cellIs" dxfId="245" priority="19" operator="greaterThan">
      <formula>$G$19</formula>
    </cfRule>
    <cfRule type="cellIs" dxfId="244" priority="20" operator="lessThanOrEqual">
      <formula>$G$19</formula>
    </cfRule>
  </conditionalFormatting>
  <conditionalFormatting sqref="F18">
    <cfRule type="cellIs" dxfId="243" priority="21" operator="greaterThan">
      <formula>$G$18</formula>
    </cfRule>
    <cfRule type="cellIs" dxfId="242" priority="22" operator="lessThanOrEqual">
      <formula>$G$18</formula>
    </cfRule>
  </conditionalFormatting>
  <conditionalFormatting sqref="C53">
    <cfRule type="cellIs" dxfId="241" priority="24" operator="greaterThan">
      <formula>32000</formula>
    </cfRule>
    <cfRule type="cellIs" dxfId="240" priority="25" operator="lessThanOrEqual">
      <formula>32000</formula>
    </cfRule>
  </conditionalFormatting>
  <conditionalFormatting sqref="S7 F14">
    <cfRule type="cellIs" dxfId="239" priority="40" operator="lessThanOrEqual">
      <formula>$B$28</formula>
    </cfRule>
    <cfRule type="cellIs" dxfId="238" priority="41" operator="greaterThan">
      <formula>$B$28</formula>
    </cfRule>
  </conditionalFormatting>
  <conditionalFormatting sqref="I25">
    <cfRule type="cellIs" dxfId="237" priority="16" operator="notEqual">
      <formula>"OK"</formula>
    </cfRule>
    <cfRule type="cellIs" dxfId="236" priority="17" operator="equal">
      <formula>"OK"</formula>
    </cfRule>
  </conditionalFormatting>
  <conditionalFormatting sqref="I13">
    <cfRule type="cellIs" dxfId="235" priority="13" operator="notEqual">
      <formula>"JACK FORCE OK"</formula>
    </cfRule>
  </conditionalFormatting>
  <conditionalFormatting sqref="I18">
    <cfRule type="cellIs" dxfId="234" priority="12" operator="notEqual">
      <formula>"PINCH GEAR OK"</formula>
    </cfRule>
  </conditionalFormatting>
  <conditionalFormatting sqref="I19">
    <cfRule type="cellIs" dxfId="233" priority="11" operator="notEqual">
      <formula>"STR GEAR OK"</formula>
    </cfRule>
  </conditionalFormatting>
  <conditionalFormatting sqref="I22">
    <cfRule type="cellIs" dxfId="232" priority="10" operator="notEqual">
      <formula>"FPM SUFFICIENT"</formula>
    </cfRule>
  </conditionalFormatting>
  <conditionalFormatting sqref="I20">
    <cfRule type="cellIs" dxfId="231" priority="9" operator="notEqual">
      <formula>"HP SUFFICIENT"</formula>
    </cfRule>
  </conditionalFormatting>
  <conditionalFormatting sqref="I24">
    <cfRule type="cellIs" dxfId="230" priority="8" operator="notEqual">
      <formula>"OK"</formula>
    </cfRule>
  </conditionalFormatting>
  <conditionalFormatting sqref="F36">
    <cfRule type="cellIs" dxfId="229" priority="6" operator="notEqual">
      <formula>"OK"</formula>
    </cfRule>
    <cfRule type="cellIs" dxfId="228" priority="7" operator="equal">
      <formula>"OK"</formula>
    </cfRule>
  </conditionalFormatting>
  <conditionalFormatting sqref="F33:F35">
    <cfRule type="cellIs" dxfId="227" priority="14" operator="notEqual">
      <formula>"OK"</formula>
    </cfRule>
    <cfRule type="cellIs" dxfId="226" priority="15" operator="equal">
      <formula>"OK"</formula>
    </cfRule>
  </conditionalFormatting>
  <conditionalFormatting sqref="F32">
    <cfRule type="cellIs" dxfId="225" priority="4" operator="notEqual">
      <formula>"OK"</formula>
    </cfRule>
    <cfRule type="cellIs" dxfId="224" priority="5" operator="equal">
      <formula>"OK"</formula>
    </cfRule>
  </conditionalFormatting>
  <conditionalFormatting sqref="I14">
    <cfRule type="cellIs" dxfId="223" priority="2" operator="notEqual">
      <formula>""</formula>
    </cfRule>
  </conditionalFormatting>
  <conditionalFormatting sqref="F37">
    <cfRule type="cellIs" dxfId="222" priority="1" operator="equal">
      <formula>"Back up Rolls Required"</formula>
    </cfRule>
  </conditionalFormatting>
  <dataValidations count="6">
    <dataValidation type="list" allowBlank="1" showInputMessage="1" showErrorMessage="1" sqref="B8" xr:uid="{174E98C8-E848-4506-9DD6-39E7BA09D303}">
      <formula1>$A$59:$A$60</formula1>
    </dataValidation>
    <dataValidation type="list" allowBlank="1" showInputMessage="1" showErrorMessage="1" sqref="B23" xr:uid="{D155A785-850B-4D15-8229-B54F5E8D3BEB}">
      <formula1>LookupYesNo</formula1>
    </dataValidation>
    <dataValidation type="list" allowBlank="1" showInputMessage="1" showErrorMessage="1" sqref="B20" xr:uid="{9DD77E06-7E8D-460E-B7BB-AE4BB0D24FE1}">
      <formula1>StrHPs</formula1>
    </dataValidation>
    <dataValidation type="list" allowBlank="1" showInputMessage="1" showErrorMessage="1" sqref="B10" xr:uid="{5BC289FA-9AFA-4648-B597-7C1A660B6F03}">
      <formula1>StrWidths</formula1>
    </dataValidation>
    <dataValidation type="list" allowBlank="1" showInputMessage="1" showErrorMessage="1" sqref="B22" xr:uid="{1981059D-28F4-4022-8EDD-1431F4EB37C1}">
      <formula1>StrFPMs</formula1>
    </dataValidation>
    <dataValidation type="list" allowBlank="1" showInputMessage="1" showErrorMessage="1" sqref="B9:C9" xr:uid="{0DA9541E-AC0A-4CC8-B8D4-1A758BD220F5}">
      <formula1>StrModels</formula1>
    </dataValidation>
  </dataValidations>
  <pageMargins left="0.7" right="0.25" top="0.75" bottom="0.5" header="0.3" footer="0.3"/>
  <pageSetup scale="8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Spinner 1">
              <controlPr defaultSize="0" autoPict="0">
                <anchor moveWithCells="1" sizeWithCells="1">
                  <from>
                    <xdr:col>10</xdr:col>
                    <xdr:colOff>0</xdr:colOff>
                    <xdr:row>8</xdr:row>
                    <xdr:rowOff>0</xdr:rowOff>
                  </from>
                  <to>
                    <xdr:col>10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5" name="Button 8">
              <controlPr defaultSize="0" print="0" autoFill="0" autoPict="0" macro="[0]!Tbl_Contents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180975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6" name="Button 10">
              <controlPr defaultSize="0" print="0" autoFill="0" autoPict="0" macro="[0]!JumpToBackbend">
                <anchor moveWithCells="1" sizeWithCells="1">
                  <from>
                    <xdr:col>8</xdr:col>
                    <xdr:colOff>19050</xdr:colOff>
                    <xdr:row>35</xdr:row>
                    <xdr:rowOff>19050</xdr:rowOff>
                  </from>
                  <to>
                    <xdr:col>9</xdr:col>
                    <xdr:colOff>9525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7" name="Button 11">
              <controlPr defaultSize="0" print="0" autoFill="0" autoPict="0" macro="[0]!JumpToFeed">
                <anchor moveWithCells="1" sizeWithCells="1">
                  <from>
                    <xdr:col>8</xdr:col>
                    <xdr:colOff>19050</xdr:colOff>
                    <xdr:row>36</xdr:row>
                    <xdr:rowOff>28575</xdr:rowOff>
                  </from>
                  <to>
                    <xdr:col>9</xdr:col>
                    <xdr:colOff>9525</xdr:colOff>
                    <xdr:row>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8" name="Button 12">
              <controlPr defaultSize="0" print="0" autoFill="0" autoPict="0" macro="[0]!JumpToTDDBHD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9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9" name="Button 13">
              <controlPr defaultSize="0" print="0" autoFill="0" autoPict="0" macro="[0]!JumpToEquipmentSummary">
                <anchor moveWithCells="1" sizeWithCells="1">
                  <from>
                    <xdr:col>8</xdr:col>
                    <xdr:colOff>9525</xdr:colOff>
                    <xdr:row>32</xdr:row>
                    <xdr:rowOff>171450</xdr:rowOff>
                  </from>
                  <to>
                    <xdr:col>9</xdr:col>
                    <xdr:colOff>9525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10" name="Button 14">
              <controlPr defaultSize="0" print="0" autoFill="0" autoPict="0" macro="[0]!JumpToRFQ">
                <anchor moveWithCells="1" sizeWithCells="1">
                  <from>
                    <xdr:col>8</xdr:col>
                    <xdr:colOff>9525</xdr:colOff>
                    <xdr:row>30</xdr:row>
                    <xdr:rowOff>142875</xdr:rowOff>
                  </from>
                  <to>
                    <xdr:col>9</xdr:col>
                    <xdr:colOff>9525</xdr:colOff>
                    <xdr:row>31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9" r:id="rId11" name="Button 15">
              <controlPr defaultSize="0" print="0" autoFill="0" autoPict="0" macro="[0]!JumpToMaterialSpecs">
                <anchor moveWithCells="1" sizeWithCells="1">
                  <from>
                    <xdr:col>8</xdr:col>
                    <xdr:colOff>9525</xdr:colOff>
                    <xdr:row>31</xdr:row>
                    <xdr:rowOff>152400</xdr:rowOff>
                  </from>
                  <to>
                    <xdr:col>9</xdr:col>
                    <xdr:colOff>9525</xdr:colOff>
                    <xdr:row>32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6CAD9-AE0B-4EBD-BE4E-9BA62B4560F5}">
  <sheetPr codeName="Sheet5">
    <tabColor theme="1"/>
    <pageSetUpPr fitToPage="1"/>
  </sheetPr>
  <dimension ref="A1:X94"/>
  <sheetViews>
    <sheetView zoomScaleNormal="100" workbookViewId="0">
      <selection activeCell="B21" sqref="B21"/>
    </sheetView>
  </sheetViews>
  <sheetFormatPr defaultRowHeight="15" x14ac:dyDescent="0.25"/>
  <cols>
    <col min="1" max="1" width="20.42578125" customWidth="1"/>
    <col min="2" max="2" width="10.42578125" style="2" customWidth="1"/>
    <col min="3" max="3" width="10.28515625" customWidth="1"/>
    <col min="4" max="4" width="4.28515625" customWidth="1"/>
    <col min="5" max="5" width="18.7109375" customWidth="1"/>
    <col min="6" max="6" width="20.7109375" customWidth="1"/>
    <col min="7" max="7" width="16.7109375" customWidth="1"/>
    <col min="8" max="8" width="7.28515625" customWidth="1"/>
    <col min="9" max="9" width="20" bestFit="1" customWidth="1"/>
    <col min="10" max="10" width="11.7109375" customWidth="1"/>
    <col min="11" max="11" width="20" hidden="1" customWidth="1"/>
    <col min="12" max="12" width="10.28515625" hidden="1" customWidth="1"/>
    <col min="13" max="13" width="10.28515625" style="2" hidden="1" customWidth="1"/>
    <col min="14" max="14" width="10.7109375" hidden="1" customWidth="1"/>
    <col min="15" max="15" width="11.42578125" hidden="1" customWidth="1"/>
    <col min="16" max="16" width="10.7109375" hidden="1" customWidth="1"/>
    <col min="17" max="18" width="9.28515625" hidden="1" customWidth="1"/>
    <col min="19" max="19" width="12.42578125" hidden="1" customWidth="1"/>
    <col min="20" max="20" width="10.7109375" hidden="1" customWidth="1"/>
    <col min="21" max="21" width="20.42578125" hidden="1" customWidth="1"/>
    <col min="22" max="22" width="11" hidden="1" customWidth="1"/>
    <col min="23" max="24" width="9.28515625" hidden="1" customWidth="1"/>
    <col min="25" max="26" width="9.28515625" customWidth="1"/>
  </cols>
  <sheetData>
    <row r="1" spans="1:23" ht="18.75" x14ac:dyDescent="0.3">
      <c r="E1" s="32" t="s">
        <v>0</v>
      </c>
      <c r="K1" s="598">
        <f>'Str. Utility (1)'!K1</f>
        <v>0</v>
      </c>
      <c r="L1" t="s">
        <v>309</v>
      </c>
      <c r="M1" s="7">
        <f>IF( payoff="TOP", -coil_od/2, coil_od/2)</f>
        <v>-36</v>
      </c>
      <c r="O1" t="s">
        <v>308</v>
      </c>
      <c r="P1" s="7">
        <f>1/curv_at_yld</f>
        <v>43.5</v>
      </c>
    </row>
    <row r="2" spans="1:23" x14ac:dyDescent="0.25">
      <c r="E2" s="64" t="s">
        <v>307</v>
      </c>
      <c r="K2" s="598">
        <f>'Str. Utility (1)'!K2</f>
        <v>50</v>
      </c>
      <c r="L2" t="s">
        <v>306</v>
      </c>
      <c r="M2" s="7">
        <f>IF(ABS(1/M1)&gt;curv_at_yld,1/((1/M1)-((ABS(M1)/M1)*(1.5*(1-creep))*curv_at_yld*(1-((1/3)*(curv_at_yld/(1/M1))^2)))), IF(creep=0, ABS(M1)/M1*99999, M1/creep))</f>
        <v>-100.51424594052511</v>
      </c>
      <c r="O2" t="s">
        <v>305</v>
      </c>
      <c r="P2" s="2">
        <f>coil_width*yield*(thk^2)/6</f>
        <v>24000</v>
      </c>
    </row>
    <row r="3" spans="1:23" x14ac:dyDescent="0.25">
      <c r="B3"/>
      <c r="E3" s="64"/>
      <c r="K3" s="598" t="str">
        <f>'Str. Utility (1)'!K3</f>
        <v>CPPS-507</v>
      </c>
      <c r="M3" s="7"/>
      <c r="P3" s="2"/>
    </row>
    <row r="4" spans="1:23" x14ac:dyDescent="0.25">
      <c r="A4" s="5" t="s">
        <v>1</v>
      </c>
      <c r="B4" s="987" t="str">
        <f>Customer</f>
        <v>ULTRATECH TOOL&amp; DESIGN, INC.</v>
      </c>
      <c r="C4" s="987"/>
      <c r="D4" s="987"/>
      <c r="E4" s="987"/>
      <c r="F4" s="987"/>
      <c r="K4" s="598">
        <f>'Str. Utility (1)'!K4</f>
        <v>42</v>
      </c>
      <c r="M4" s="7"/>
      <c r="P4" s="2"/>
    </row>
    <row r="5" spans="1:23" x14ac:dyDescent="0.25">
      <c r="A5" s="5" t="s">
        <v>2</v>
      </c>
      <c r="B5" s="988">
        <f>CalcDate</f>
        <v>0</v>
      </c>
      <c r="C5" s="989"/>
      <c r="D5" s="989"/>
      <c r="E5" s="989"/>
      <c r="F5" s="989"/>
      <c r="M5" s="7"/>
      <c r="P5" s="2"/>
    </row>
    <row r="6" spans="1:23" x14ac:dyDescent="0.25">
      <c r="A6" s="5" t="s">
        <v>3</v>
      </c>
      <c r="B6" s="987">
        <f>Reference</f>
        <v>0</v>
      </c>
      <c r="C6" s="987"/>
      <c r="D6" s="987"/>
      <c r="E6" s="987"/>
      <c r="F6" s="987"/>
      <c r="M6" s="7"/>
      <c r="P6" s="2"/>
    </row>
    <row r="7" spans="1:23" x14ac:dyDescent="0.25">
      <c r="L7" t="s">
        <v>304</v>
      </c>
      <c r="M7" s="49">
        <f>1/M2</f>
        <v>-9.94883850187471E-3</v>
      </c>
      <c r="R7" s="60" t="s">
        <v>303</v>
      </c>
      <c r="S7" s="63">
        <f>L13</f>
        <v>20993.701935591049</v>
      </c>
      <c r="T7" s="62">
        <f>L14</f>
        <v>0.78188044834040071</v>
      </c>
    </row>
    <row r="8" spans="1:23" x14ac:dyDescent="0.25">
      <c r="A8" s="57" t="s">
        <v>302</v>
      </c>
      <c r="B8" s="712" t="str">
        <f>'Str. Utility (1)'!B8</f>
        <v>TOP</v>
      </c>
      <c r="L8" t="s">
        <v>301</v>
      </c>
      <c r="M8" s="49">
        <f>2*yield/(thk*mod)</f>
        <v>2.2988505747126436E-2</v>
      </c>
    </row>
    <row r="9" spans="1:23" x14ac:dyDescent="0.25">
      <c r="A9" s="57" t="s">
        <v>300</v>
      </c>
      <c r="B9" s="995" t="str">
        <f>'Str. Utility (1)'!model</f>
        <v>CPPS-507</v>
      </c>
      <c r="C9" s="996"/>
    </row>
    <row r="10" spans="1:23" x14ac:dyDescent="0.25">
      <c r="A10" s="57" t="s">
        <v>299</v>
      </c>
      <c r="B10" s="713">
        <f>'Str. Utility (1)'!str_width</f>
        <v>42</v>
      </c>
      <c r="C10" s="54"/>
      <c r="D10" s="54"/>
      <c r="L10">
        <v>9706.5564862906867</v>
      </c>
    </row>
    <row r="11" spans="1:23" x14ac:dyDescent="0.25">
      <c r="A11" s="57" t="s">
        <v>298</v>
      </c>
      <c r="B11" s="448">
        <f>'Str. Utility (1)'!B11</f>
        <v>7</v>
      </c>
      <c r="C11" s="54"/>
      <c r="D11" s="54"/>
      <c r="L11" t="s">
        <v>297</v>
      </c>
      <c r="M11"/>
      <c r="N11" t="s">
        <v>296</v>
      </c>
      <c r="P11" t="s">
        <v>295</v>
      </c>
      <c r="R11" t="s">
        <v>294</v>
      </c>
      <c r="S11" t="s">
        <v>293</v>
      </c>
      <c r="T11" t="s">
        <v>292</v>
      </c>
      <c r="U11" t="s">
        <v>291</v>
      </c>
    </row>
    <row r="12" spans="1:23" x14ac:dyDescent="0.25">
      <c r="K12" t="s">
        <v>290</v>
      </c>
      <c r="L12" s="4">
        <f>IF((L10-10000)/1000&lt;B29, "TOO DEEP!", (L10-10000)/1000)</f>
        <v>-0.29344351370931326</v>
      </c>
      <c r="M12" s="4"/>
      <c r="N12" s="4">
        <f>L12+((P12-L12)/2)</f>
        <v>-2.6721756854656664E-2</v>
      </c>
      <c r="O12" s="4"/>
      <c r="P12" s="4">
        <f>thk*0.8</f>
        <v>0.24</v>
      </c>
      <c r="R12" s="39">
        <f>rad_at_yld/2</f>
        <v>21.75</v>
      </c>
      <c r="S12" s="39">
        <f>R12-(SQRT(((R12+(thk/4))^2)-((cent_dist/4)^2)))</f>
        <v>4.1289190741888859E-2</v>
      </c>
      <c r="T12" s="39">
        <f>ABS(S12)*-2*1.07</f>
        <v>-8.8358868187642159E-2</v>
      </c>
      <c r="U12" s="43">
        <f>10000+(V20*1000)</f>
        <v>9988.1648867764106</v>
      </c>
      <c r="V12" s="43">
        <f>10000+(B29*1000)</f>
        <v>8750</v>
      </c>
      <c r="W12" s="43">
        <f>IF(U12&gt;V12,U12,V12)</f>
        <v>9988.1648867764106</v>
      </c>
    </row>
    <row r="13" spans="1:23" x14ac:dyDescent="0.25">
      <c r="A13" s="57" t="s">
        <v>289</v>
      </c>
      <c r="B13" s="530">
        <f>CoilWeight_2</f>
        <v>20000</v>
      </c>
      <c r="C13" s="61"/>
      <c r="D13" s="61"/>
      <c r="F13" s="50" t="s">
        <v>288</v>
      </c>
      <c r="G13" s="50" t="s">
        <v>287</v>
      </c>
      <c r="I13" s="769" t="str">
        <f>IF(jack_force&gt;F14, "JACK FORCE OK", "NOT ENOUGH FORCE")</f>
        <v>JACK FORCE OK</v>
      </c>
      <c r="K13" t="s">
        <v>286</v>
      </c>
      <c r="L13" s="7">
        <f>L18*5.333/cent_dist</f>
        <v>20993.701935591049</v>
      </c>
      <c r="M13" s="7"/>
      <c r="N13" s="7">
        <f>N18*5.333/cent_dist</f>
        <v>21093.065095955564</v>
      </c>
      <c r="O13" s="7"/>
      <c r="P13" s="7">
        <f>P18*5.3333/cent_dist</f>
        <v>18923.677219307858</v>
      </c>
      <c r="R13" s="39"/>
      <c r="S13" s="39">
        <f>R12-(SQRT(((R12+(thk/4))*((R12+(thk/4)))-(((cent_dist/4)*(cent_dist/4))))))</f>
        <v>4.1289190741888859E-2</v>
      </c>
      <c r="T13" s="39"/>
      <c r="U13" s="43"/>
      <c r="V13" s="43"/>
      <c r="W13" s="43"/>
    </row>
    <row r="14" spans="1:23" x14ac:dyDescent="0.25">
      <c r="A14" s="57" t="s">
        <v>285</v>
      </c>
      <c r="B14" s="448">
        <f>CoilID_2</f>
        <v>20</v>
      </c>
      <c r="C14" s="61"/>
      <c r="D14" s="61"/>
      <c r="E14" s="60" t="s">
        <v>284</v>
      </c>
      <c r="F14" s="530">
        <f>((16*yield*coil_width*thk^2)/(15*cent_dist))+(((16*yield*coil_width*thk^2)/(15*cent_dist))*0.19)</f>
        <v>20309.333333333336</v>
      </c>
      <c r="G14" s="58">
        <f>jack_force</f>
        <v>60000</v>
      </c>
      <c r="I14" s="774" t="str">
        <f>IF(F14&gt;(G14*0.6),"Back Up Rolls Recommended", "")</f>
        <v/>
      </c>
      <c r="K14" t="s">
        <v>283</v>
      </c>
      <c r="L14" s="59">
        <f>IF(curv_at_yld&lt;ABS(L17),1-ABS(curv_at_yld/L17)," NONE")</f>
        <v>0.78188044834040071</v>
      </c>
      <c r="M14" s="59">
        <f>IF(curv_at_yld&lt;ABS(M17),1-ABS(curv_at_yld/M17)," NONE")</f>
        <v>0.85353398886191545</v>
      </c>
      <c r="N14" s="59">
        <f>IF(curv_at_yld&lt;ABS(N17),1-ABS(curv_at_yld/N17)," NONE")</f>
        <v>0.81669064119278301</v>
      </c>
      <c r="O14" s="59">
        <f>IF(curv_at_yld&lt;ABS(O17),1-ABS(curv_at_yld/O17)," NONE")</f>
        <v>0.75622432578774956</v>
      </c>
      <c r="P14" s="59">
        <f>IF(curv_at_yld&lt;ABS(P17),1-ABS(curv_at_yld/P17)," NONE")</f>
        <v>0.41789927092237733</v>
      </c>
      <c r="R14" s="39"/>
      <c r="S14" s="39">
        <f>(SQRT(((R12+(thk/4))*((R12+(thk/4)))-(((cent_dist/4)*(cent_dist/4))))))</f>
        <v>21.708710809258111</v>
      </c>
      <c r="T14" s="39">
        <f>S14-R12</f>
        <v>-4.1289190741888859E-2</v>
      </c>
      <c r="U14" s="43"/>
      <c r="V14" s="43"/>
      <c r="W14" s="43"/>
    </row>
    <row r="15" spans="1:23" x14ac:dyDescent="0.25">
      <c r="A15" s="57" t="s">
        <v>282</v>
      </c>
      <c r="B15" s="448">
        <f>CoilWidth_2</f>
        <v>16</v>
      </c>
      <c r="C15" s="54"/>
      <c r="D15" s="54"/>
      <c r="F15" s="2"/>
      <c r="G15" s="2"/>
      <c r="K15" s="2" t="s">
        <v>281</v>
      </c>
      <c r="L15" s="7">
        <f>(1.314-$B$59*thk+$B$60*L12)*((-0.25*B27^2)-(L12^2)+(2*L12*thk)-thk^2)/(4*(L12+0.00000001)-4*thk)</f>
        <v>10.477213567423883</v>
      </c>
      <c r="M15" s="7">
        <f>-L15</f>
        <v>-10.477213567423883</v>
      </c>
      <c r="N15" s="7">
        <f>((-0.25*B27^2)-($N$12^2)+(2*$N$12*thk)-thk^2)/(4*($N$12+0.00000001)-4*thk)</f>
        <v>15.576516793246981</v>
      </c>
      <c r="O15" s="7">
        <f>-N15</f>
        <v>-15.576516793246981</v>
      </c>
      <c r="P15" s="7">
        <f>(1.314-$B$59*thk+$B$60*P12)*((-0.25*B27^2)-(P12^2)+(2*P12*thk)-thk^2)/(4*(P12+0.00000001)-4*thk)</f>
        <v>109.97706632951106</v>
      </c>
      <c r="S15">
        <v>4</v>
      </c>
      <c r="T15">
        <v>8</v>
      </c>
      <c r="U15">
        <v>2</v>
      </c>
      <c r="V15">
        <v>3</v>
      </c>
    </row>
    <row r="16" spans="1:23" x14ac:dyDescent="0.25">
      <c r="A16" s="57" t="s">
        <v>280</v>
      </c>
      <c r="B16" s="569">
        <f>Thickness_2</f>
        <v>0.3</v>
      </c>
      <c r="C16" s="54"/>
      <c r="D16" s="54"/>
      <c r="F16" s="2"/>
      <c r="G16" s="2"/>
      <c r="K16" s="2" t="s">
        <v>279</v>
      </c>
      <c r="L16" s="2" t="s">
        <v>277</v>
      </c>
      <c r="M16" s="2" t="s">
        <v>278</v>
      </c>
      <c r="N16" s="2" t="s">
        <v>277</v>
      </c>
      <c r="O16" s="2" t="s">
        <v>278</v>
      </c>
      <c r="P16" s="2" t="s">
        <v>277</v>
      </c>
      <c r="R16" s="2" t="s">
        <v>276</v>
      </c>
      <c r="S16" s="39">
        <f>SQRT(((S18)^2)-((S17)^2))</f>
        <v>21.633307652783937</v>
      </c>
      <c r="T16" s="39">
        <f>SQRT(((T18)^2)-((T17)^2))</f>
        <v>21.720885686361871</v>
      </c>
      <c r="U16" s="39">
        <f>SQRT(((U18)^2)-((U17)^2))</f>
        <v>21.279391438666661</v>
      </c>
      <c r="V16" s="39">
        <f>SQRT(((V18)^2)-((V17)^2))</f>
        <v>21.542109924517607</v>
      </c>
    </row>
    <row r="17" spans="1:23" x14ac:dyDescent="0.25">
      <c r="A17" s="57" t="s">
        <v>275</v>
      </c>
      <c r="B17" s="530">
        <f>YieldStrength_2</f>
        <v>100000</v>
      </c>
      <c r="C17" s="54"/>
      <c r="D17" s="54"/>
      <c r="F17" s="50" t="s">
        <v>274</v>
      </c>
      <c r="G17" s="50" t="s">
        <v>273</v>
      </c>
      <c r="H17" s="2"/>
      <c r="K17" s="2" t="s">
        <v>272</v>
      </c>
      <c r="L17" s="49">
        <f>1/L15-$M$7</f>
        <v>0.10539406289905937</v>
      </c>
      <c r="M17" s="49">
        <f>1/M15-1/L21</f>
        <v>-0.15695454234398065</v>
      </c>
      <c r="N17" s="49">
        <f>1/N15-1/M21</f>
        <v>0.12540824918439117</v>
      </c>
      <c r="O17" s="49">
        <f>1/O15-1/N21</f>
        <v>-9.4301885622561421E-2</v>
      </c>
      <c r="P17" s="49">
        <f>1/P15-1/O21</f>
        <v>3.9492315674562462E-2</v>
      </c>
      <c r="R17" t="s">
        <v>271</v>
      </c>
      <c r="S17">
        <f>cent_dist/S15</f>
        <v>2.25</v>
      </c>
      <c r="T17">
        <f>cent_dist/T15</f>
        <v>1.125</v>
      </c>
      <c r="U17">
        <f>cent_dist/U15</f>
        <v>4.5</v>
      </c>
      <c r="V17">
        <f>cent_dist/V15</f>
        <v>3</v>
      </c>
    </row>
    <row r="18" spans="1:23" x14ac:dyDescent="0.25">
      <c r="A18" s="57" t="s">
        <v>63</v>
      </c>
      <c r="B18" s="448" t="str">
        <f>Material_2</f>
        <v>HS Steel</v>
      </c>
      <c r="C18" s="54"/>
      <c r="D18" s="54"/>
      <c r="E18" s="5" t="s">
        <v>270</v>
      </c>
      <c r="F18" s="530">
        <f>(P38*P24/VLOOKUP(model,LookupStrModel,14,FALSE))+S35/2*P24+(((M38*N38)/(9.55*O38))*(1/R38))*P24/2</f>
        <v>17329.306180033327</v>
      </c>
      <c r="G18" s="530">
        <f>(63025*N58)/N60</f>
        <v>47151.532858898267</v>
      </c>
      <c r="H18" s="2"/>
      <c r="I18" s="769" t="str">
        <f>IF(G18&gt;F18, "PINCH GEAR OK", "PINCH GEAR FAILURE")</f>
        <v>PINCH GEAR OK</v>
      </c>
      <c r="K18" s="2" t="s">
        <v>163</v>
      </c>
      <c r="L18" s="7">
        <f>IF(ABS(L17)&lt;curv_at_yld,(mod*coil_width*thk^3)/(12)*(L17),(ABS(L17)/L17)*1.5*My*(1-1/3*((curv_at_yld/L17)^2)))</f>
        <v>35429.086334205786</v>
      </c>
      <c r="M18" s="7">
        <f>IF(ABS(M17)&lt;curv_at_yld,(mod*coil_width*thk^3)/(12)*(M17),(ABS(M17)/M17)*1.5*My*(1-1/3*((curv_at_yld/M17)^2)))</f>
        <v>-35742.572490975581</v>
      </c>
      <c r="N18" s="7">
        <f>IF(ABS(N17)&lt;curv_at_yld,(mod*coil_width*thk^3)/(12)*(N17),(ABS(N17)/N17)*1.5*My*(1-1/3*((curv_at_yld/N17)^2)))</f>
        <v>35596.772147684242</v>
      </c>
      <c r="O18" s="7">
        <f>IF(ABS(O17)&lt;curv_at_yld,(mod*coil_width*thk^3)/(12)*(O17),(ABS(O17)/O17)*1.5*My*(1-1/3*((curv_at_yld/O17)^2)))</f>
        <v>-35286.881047948351</v>
      </c>
      <c r="P18" s="7">
        <f>IF(ABS(P17)&lt;curv_at_yld,(mod*coil_width*thk^3)/(12)*(P17),(ABS(P17)/P17)*1.5*My*(1-1/3*((curv_at_yld/P17)^2)))</f>
        <v>31933.904894487601</v>
      </c>
      <c r="R18" t="s">
        <v>269</v>
      </c>
      <c r="S18" s="39">
        <f>$R$12</f>
        <v>21.75</v>
      </c>
      <c r="T18" s="39">
        <f>$R$12</f>
        <v>21.75</v>
      </c>
      <c r="U18" s="39">
        <f>$R$12</f>
        <v>21.75</v>
      </c>
      <c r="V18" s="39">
        <f>$R$12</f>
        <v>21.75</v>
      </c>
    </row>
    <row r="19" spans="1:23" x14ac:dyDescent="0.25">
      <c r="E19" s="5" t="s">
        <v>268</v>
      </c>
      <c r="F19" s="530">
        <f>(P38*P25/VLOOKUP(model,LookupStrModel,14,FALSE))+(((M38*N38)/(9.55*O38))*(1/R38))*P25/2*7/11</f>
        <v>11302.269301215449</v>
      </c>
      <c r="G19" s="530">
        <f>(63025*O58)/O60</f>
        <v>32949.855488311572</v>
      </c>
      <c r="H19" s="2"/>
      <c r="I19" s="769" t="str">
        <f>IF(G19&gt;F19, "STR GEAR OK", "STR GEAR FAILURE")</f>
        <v>STR GEAR OK</v>
      </c>
      <c r="K19" s="2" t="s">
        <v>267</v>
      </c>
      <c r="L19" s="49">
        <f>L18/My</f>
        <v>1.4762119305919077</v>
      </c>
      <c r="M19" s="49">
        <f>M18/My</f>
        <v>-1.4892738537906491</v>
      </c>
      <c r="N19" s="49">
        <f>N18/My</f>
        <v>1.4831988394868434</v>
      </c>
      <c r="O19" s="49">
        <f>O18/My</f>
        <v>-1.4702867103311812</v>
      </c>
      <c r="P19" s="49">
        <f>P18/My</f>
        <v>1.3305793706036499</v>
      </c>
      <c r="R19" t="s">
        <v>266</v>
      </c>
      <c r="S19" s="39">
        <f>(S18-S16)*(S15/2)</f>
        <v>0.23338469443212517</v>
      </c>
      <c r="T19" s="39">
        <f>(T18-T16)*(T15/2)</f>
        <v>0.11645725455251466</v>
      </c>
      <c r="U19" s="39">
        <f>(U18-U16)*(U15/2)</f>
        <v>0.47060856133333928</v>
      </c>
      <c r="V19" s="39">
        <f>(V18-V16)*(V15/2)</f>
        <v>0.31183511322358903</v>
      </c>
    </row>
    <row r="20" spans="1:23" x14ac:dyDescent="0.25">
      <c r="A20" s="57" t="s">
        <v>260</v>
      </c>
      <c r="B20" s="770">
        <f>'Str. Utility (1)'!HP</f>
        <v>50</v>
      </c>
      <c r="C20" s="54"/>
      <c r="D20" s="54"/>
      <c r="E20" s="990" t="s">
        <v>259</v>
      </c>
      <c r="F20" s="991"/>
      <c r="G20" s="766">
        <f>IF(pro_brake="NO", (S39*N38)/63000, IF(pro_brake="YES", (S38*N38)/63000))</f>
        <v>44.512107092751059</v>
      </c>
      <c r="I20" s="769" t="str">
        <f>IF(HP&gt;G20, "HP SUFFICIENT", "HP INSUFFICIENT")</f>
        <v>HP SUFFICIENT</v>
      </c>
      <c r="K20" s="2" t="s">
        <v>264</v>
      </c>
      <c r="L20" s="49">
        <f>-curv_at_yld*L19</f>
        <v>-3.393590645038868E-2</v>
      </c>
      <c r="M20" s="49">
        <f>-curv_at_yld*M19</f>
        <v>3.4236180546911472E-2</v>
      </c>
      <c r="N20" s="49">
        <f>-curv_at_yld*N19</f>
        <v>-3.4096525045674557E-2</v>
      </c>
      <c r="O20" s="49">
        <f>-curv_at_yld*O19</f>
        <v>3.3799694490371984E-2</v>
      </c>
      <c r="P20" s="49">
        <f>-curv_at_yld*P19</f>
        <v>-3.0588031508129884E-2</v>
      </c>
      <c r="R20" t="s">
        <v>263</v>
      </c>
      <c r="S20" s="39">
        <f>thk-S19</f>
        <v>6.6615305567874816E-2</v>
      </c>
      <c r="T20" s="39">
        <f>thk-T19</f>
        <v>0.18354274544748533</v>
      </c>
      <c r="U20" s="39">
        <f>thk-U19</f>
        <v>-0.17060856133333929</v>
      </c>
      <c r="V20" s="39">
        <f>thk-V19</f>
        <v>-1.1835113223589044E-2</v>
      </c>
    </row>
    <row r="21" spans="1:23" ht="17.25" x14ac:dyDescent="0.25">
      <c r="A21" s="57" t="s">
        <v>262</v>
      </c>
      <c r="B21" s="693">
        <v>1</v>
      </c>
      <c r="C21" s="54"/>
      <c r="D21" s="54"/>
      <c r="F21" s="2"/>
      <c r="G21" s="7"/>
      <c r="K21" s="2" t="s">
        <v>261</v>
      </c>
      <c r="L21" s="7">
        <f>1/((1/L15)+L20)</f>
        <v>16.257699375970564</v>
      </c>
      <c r="M21" s="7">
        <f>1/((1/M15)+M20)</f>
        <v>-16.337455008219948</v>
      </c>
      <c r="N21" s="7">
        <f>1/((1/N15)+N20)</f>
        <v>33.219633282419203</v>
      </c>
      <c r="O21" s="7">
        <f>1/((1/O15)+O20)</f>
        <v>-32.895266148854063</v>
      </c>
      <c r="P21" s="7">
        <f>1/((1/P15)+P20)</f>
        <v>-46.521956479548258</v>
      </c>
      <c r="R21" s="43">
        <f>L15</f>
        <v>10.477213567423883</v>
      </c>
      <c r="S21" s="39">
        <f>R21-(SQRT(((R21+(thk/4))^2)-((cent_dist/4)^2)))</f>
        <v>0.16766890373845733</v>
      </c>
      <c r="T21" s="39">
        <f>ABS(S21)*-2</f>
        <v>-0.33533780747691466</v>
      </c>
      <c r="U21" s="39"/>
      <c r="V21" s="39"/>
    </row>
    <row r="22" spans="1:23" x14ac:dyDescent="0.25">
      <c r="A22" s="57" t="s">
        <v>265</v>
      </c>
      <c r="B22" s="770">
        <f>'Str. Utility (1)'!fpm</f>
        <v>120</v>
      </c>
      <c r="C22" s="54"/>
      <c r="D22" s="54"/>
      <c r="F22" s="2"/>
      <c r="G22" s="2"/>
      <c r="I22" s="769" t="str">
        <f>IF(fpm&gt;=ReqMaxFPM_2*FPMBuffer,"FPM SUFFICIENT", "FPM NOT SUFFICIENT")</f>
        <v>FPM SUFFICIENT</v>
      </c>
      <c r="K22" t="s">
        <v>258</v>
      </c>
      <c r="L22" s="7">
        <f>1/(1-L14)</f>
        <v>4.5846417361090825</v>
      </c>
      <c r="M22" s="7"/>
      <c r="N22" s="7">
        <f>1/(1-N14)</f>
        <v>5.4552588395210151</v>
      </c>
      <c r="O22" s="7"/>
      <c r="P22" s="7">
        <f>1/(1-P14)</f>
        <v>1.7179157318434672</v>
      </c>
      <c r="T22" s="39">
        <f>L12/T21</f>
        <v>0.8750683852715132</v>
      </c>
    </row>
    <row r="23" spans="1:23" x14ac:dyDescent="0.25">
      <c r="A23" s="57" t="s">
        <v>257</v>
      </c>
      <c r="B23" s="448" t="str">
        <f>'Str. Utility (1)'!pro_brake</f>
        <v>YES</v>
      </c>
      <c r="F23" s="2"/>
      <c r="G23" s="2"/>
      <c r="L23" t="s">
        <v>256</v>
      </c>
      <c r="M23" s="2" t="s">
        <v>255</v>
      </c>
      <c r="N23" t="s">
        <v>226</v>
      </c>
      <c r="O23" t="s">
        <v>225</v>
      </c>
      <c r="P23" t="s">
        <v>224</v>
      </c>
      <c r="Q23" t="s">
        <v>223</v>
      </c>
    </row>
    <row r="24" spans="1:23" x14ac:dyDescent="0.25">
      <c r="C24" s="54"/>
      <c r="D24" s="54"/>
      <c r="E24" s="5" t="s">
        <v>254</v>
      </c>
      <c r="F24" s="530">
        <f>IF(coil_od=72, (((72^2)-(coil_id^2))/4)*PI()*VLOOKUP(material,LookupMaterial,4,FALSE)*coil_width, (((coil_od^2)-(coil_id^2))/4)*PI()*VLOOKUP(material,LookupMaterial,4,FALSE)*coil_width)</f>
        <v>17013.25731640368</v>
      </c>
      <c r="G24" s="2"/>
      <c r="I24" s="27" t="str" cm="1">
        <f t="array" ref="I24">_xlfn.IFS(RollSelection="7 Roll Str. Backbend", Str2_7YieldMet, RollSelection="9 Roll Str. Backbend", Str2_9YieldMet, RollSelection="11 Roll Str. Backbend", Str2_11YieldMet)</f>
        <v>OK</v>
      </c>
      <c r="K24" s="2" t="s">
        <v>253</v>
      </c>
      <c r="L24" s="2">
        <f>str_width+2</f>
        <v>44</v>
      </c>
      <c r="M24" s="2">
        <v>4</v>
      </c>
      <c r="N24" s="13">
        <f>((pinch_dia^2)/4)*PI()*L24*M24*0.283</f>
        <v>1738.8010547320055</v>
      </c>
      <c r="O24" s="49">
        <f>((N24/32.3)*0.5*(((pinch_dia*0.5)^2)/144)*12)</f>
        <v>24.925108060779742</v>
      </c>
      <c r="P24" s="7">
        <f>1750/((fpm*12)/(pinch_dia*PI()))</f>
        <v>25.45399089416355</v>
      </c>
      <c r="Q24" s="49">
        <f>O24/(P24^2)</f>
        <v>3.8470274131590119E-2</v>
      </c>
    </row>
    <row r="25" spans="1:23" x14ac:dyDescent="0.25">
      <c r="A25" s="5" t="s">
        <v>252</v>
      </c>
      <c r="B25" s="766">
        <f>VLOOKUP(model, LookupStrModel, 2,FALSE)</f>
        <v>5</v>
      </c>
      <c r="C25" s="54"/>
      <c r="D25" s="54"/>
      <c r="E25" s="5" t="s">
        <v>251</v>
      </c>
      <c r="F25" s="771">
        <f>MIN(V31:W31)</f>
        <v>72</v>
      </c>
      <c r="I25" s="27" t="str">
        <f>IFERROR(IF(AND(jack_force&gt;F14,G18&gt;F18,G19&gt;F19,HP&gt;G20, fpm&gt;=ReqMaxFPM_2*FPMBuffer,I24="OK"), "OK", "NOT OK"), "NOT OK")</f>
        <v>OK</v>
      </c>
      <c r="K25" s="2" t="s">
        <v>189</v>
      </c>
      <c r="L25" s="2">
        <f>str_width+2</f>
        <v>44</v>
      </c>
      <c r="M25" s="2">
        <f>B11</f>
        <v>7</v>
      </c>
      <c r="N25" s="13">
        <f>((str_dia^2)/4)*PI()*L25*M25*0.283</f>
        <v>1711.4611378593795</v>
      </c>
      <c r="O25" s="49">
        <f>((N25/32.3)*0.5*(((str_dia*0.5)^2)/144)*12)</f>
        <v>13.798545035630962</v>
      </c>
      <c r="P25" s="7">
        <f>1750/((fpm*12)/(str_dia*PI()))</f>
        <v>19.089538693687981</v>
      </c>
      <c r="Q25" s="49">
        <f>O25/(P25^2)</f>
        <v>3.7865389464674083E-2</v>
      </c>
    </row>
    <row r="26" spans="1:23" x14ac:dyDescent="0.25">
      <c r="A26" s="5" t="s">
        <v>250</v>
      </c>
      <c r="B26" s="766">
        <f>VLOOKUP(model, LookupStrModel, 4,FALSE)</f>
        <v>6.6669999999999998</v>
      </c>
      <c r="C26" s="54"/>
      <c r="D26" s="54"/>
    </row>
    <row r="27" spans="1:23" x14ac:dyDescent="0.25">
      <c r="A27" s="5" t="s">
        <v>249</v>
      </c>
      <c r="B27" s="766">
        <f>VLOOKUP(model, LookupStrModel, 3,FALSE)</f>
        <v>9</v>
      </c>
      <c r="C27" s="54"/>
      <c r="D27" s="54"/>
      <c r="E27" s="5" t="s">
        <v>248</v>
      </c>
      <c r="F27" s="771">
        <f>str_tq</f>
        <v>1150.5214973262032</v>
      </c>
      <c r="K27" s="2" t="s">
        <v>247</v>
      </c>
      <c r="L27" t="s">
        <v>246</v>
      </c>
      <c r="O27" t="s">
        <v>245</v>
      </c>
      <c r="P27" t="s">
        <v>244</v>
      </c>
    </row>
    <row r="28" spans="1:23" x14ac:dyDescent="0.25">
      <c r="A28" s="5" t="s">
        <v>243</v>
      </c>
      <c r="B28" s="530">
        <f>VLOOKUP(model, LookupStrModel, 5,FALSE)</f>
        <v>60000</v>
      </c>
      <c r="C28" s="54"/>
      <c r="D28" s="54"/>
      <c r="E28" s="5" t="s">
        <v>242</v>
      </c>
      <c r="F28" s="771">
        <f>IF(pro_brake="YES", $Q$38, IF(pro_brake="NO", $Q$39))</f>
        <v>407.94780337837602</v>
      </c>
      <c r="K28" s="2">
        <f>IF(M25&lt;7, (M25/3.5)+0.1, IF(M25&lt;9, M25/3.5, IF(M25&lt;11,(M25/3.5)-0.1,3)))</f>
        <v>2</v>
      </c>
      <c r="L28" s="56">
        <f>(16/15)*((yield*coil_width*thk*thk)/cent_dist)</f>
        <v>17066.666666666668</v>
      </c>
      <c r="P28">
        <f>(S38*N38)/63000</f>
        <v>44.512107092751059</v>
      </c>
      <c r="U28" t="s">
        <v>241</v>
      </c>
    </row>
    <row r="29" spans="1:23" x14ac:dyDescent="0.25">
      <c r="A29" s="5" t="s">
        <v>240</v>
      </c>
      <c r="B29" s="569">
        <f>VLOOKUP(model, LookupStrModel, 6,FALSE)</f>
        <v>-1.25</v>
      </c>
      <c r="C29" s="54"/>
      <c r="E29" s="5" t="s">
        <v>239</v>
      </c>
      <c r="F29" s="771">
        <f>IF(pro_brake="YES", $S$34, IF(pro_brake="NO", $S$35))</f>
        <v>43.966554634458767</v>
      </c>
      <c r="G29" t="s">
        <v>79</v>
      </c>
      <c r="V29" t="s">
        <v>238</v>
      </c>
      <c r="W29" t="s">
        <v>237</v>
      </c>
    </row>
    <row r="30" spans="1:23" x14ac:dyDescent="0.25">
      <c r="A30" s="5" t="s">
        <v>236</v>
      </c>
      <c r="B30" s="530">
        <f>VLOOKUP(B18, LookupMaterial, 3)</f>
        <v>29000000</v>
      </c>
      <c r="L30" t="s">
        <v>235</v>
      </c>
      <c r="N30" t="s">
        <v>226</v>
      </c>
      <c r="O30" t="s">
        <v>225</v>
      </c>
      <c r="P30" t="s">
        <v>224</v>
      </c>
      <c r="Q30" t="s">
        <v>223</v>
      </c>
      <c r="U30" t="s">
        <v>234</v>
      </c>
      <c r="V30" s="41">
        <f>(((coil_od^2)-(coil_id^2))/4)*PI()*VLOOKUP(material,LookupMaterial,4,FALSE)*coil_width</f>
        <v>17013.25731640368</v>
      </c>
      <c r="W30" s="41">
        <f>((($W$31^2)-(coil_id^2))/4)*PI()*VLOOKUP(material,LookupMaterial,4,FALSE)*coil_width</f>
        <v>17013.25731640368</v>
      </c>
    </row>
    <row r="31" spans="1:23" x14ac:dyDescent="0.25">
      <c r="L31" s="2">
        <v>96</v>
      </c>
      <c r="N31" s="13">
        <f>thk*coil_width*VLOOKUP(material,LookupMaterial,4,FALSE)*L31</f>
        <v>130.40639999999999</v>
      </c>
      <c r="O31" s="49">
        <f>((N31/32.3)*(((pinch_dia*0.5)^2)/144)*12)</f>
        <v>3.7386607317399374</v>
      </c>
      <c r="P31" s="7">
        <f>P24</f>
        <v>25.45399089416355</v>
      </c>
      <c r="Q31" s="49">
        <f>O31/(P31^2)</f>
        <v>5.7703783223055482E-3</v>
      </c>
      <c r="U31" t="s">
        <v>233</v>
      </c>
      <c r="V31" s="41">
        <f>SQRT((coil_id^2)+((4*Coil_weight)/(PI()*VLOOKUP(material,LookupMaterial,4,FALSE)*coil_width)))</f>
        <v>77.6134626158305</v>
      </c>
      <c r="W31" s="41">
        <v>72</v>
      </c>
    </row>
    <row r="32" spans="1:23" ht="14.25" customHeight="1" x14ac:dyDescent="0.25">
      <c r="A32" s="52" t="s">
        <v>232</v>
      </c>
      <c r="B32" s="50" t="s">
        <v>231</v>
      </c>
      <c r="C32" s="50" t="s">
        <v>230</v>
      </c>
    </row>
    <row r="33" spans="1:19" ht="14.25" customHeight="1" x14ac:dyDescent="0.25">
      <c r="A33" s="5" t="s">
        <v>229</v>
      </c>
      <c r="B33" s="448">
        <f>VLOOKUP(model,LookupStrModel,9,FALSE)</f>
        <v>24</v>
      </c>
      <c r="C33" s="448">
        <f>VLOOKUP(model,LookupStrModel,10,FALSE)</f>
        <v>4</v>
      </c>
      <c r="L33" t="s">
        <v>228</v>
      </c>
      <c r="M33" s="2" t="s">
        <v>227</v>
      </c>
      <c r="N33" t="s">
        <v>226</v>
      </c>
      <c r="O33" t="s">
        <v>225</v>
      </c>
      <c r="P33" t="s">
        <v>224</v>
      </c>
      <c r="Q33" t="s">
        <v>223</v>
      </c>
      <c r="S33" t="s">
        <v>222</v>
      </c>
    </row>
    <row r="34" spans="1:19" ht="14.25" customHeight="1" x14ac:dyDescent="0.25">
      <c r="A34" s="5" t="s">
        <v>221</v>
      </c>
      <c r="B34" s="448">
        <f>VLOOKUP(model,LookupStrModel,11,FALSE)</f>
        <v>18</v>
      </c>
      <c r="C34" s="448">
        <f>VLOOKUP(model,LookupStrModel,12,FALSE)</f>
        <v>4</v>
      </c>
      <c r="L34" t="s">
        <v>212</v>
      </c>
      <c r="M34" s="13">
        <f>((((((coil_od^2)/4)*PI()*coil_width*VLOOKUP(material,LookupMaterial,4,FALSE))/32.3*0.5*(((coil_od*0.5)^2)/144))*12)*((fpm*12)/(coil_od*PI())))/(9.55*O38)</f>
        <v>10273.047250093201</v>
      </c>
      <c r="N34" s="13">
        <f>(((coil_od^2)-(coil_id^2))/4)*PI()*VLOOKUP(material,LookupMaterial,4,FALSE)*coil_width</f>
        <v>17013.25731640368</v>
      </c>
      <c r="O34" s="13">
        <f>(((((coil_od^2)*PI())/4*VLOOKUP(material,LookupMaterial,4,FALSE)*coil_width)/32.3)*0.5*(((coil_od*0.5)^2)/144))*12</f>
        <v>30821.411931184317</v>
      </c>
      <c r="P34" s="13">
        <f>(coil_od/pinch_dia)*P24</f>
        <v>274.88935718910687</v>
      </c>
      <c r="Q34" s="49">
        <f>(O34/(P34^2))</f>
        <v>0.40788400828025045</v>
      </c>
      <c r="S34" s="13">
        <f>(M34/((coil_od/pinch_dia)*P24))/R38</f>
        <v>43.966554634458767</v>
      </c>
    </row>
    <row r="35" spans="1:19" ht="14.25" customHeight="1" x14ac:dyDescent="0.25">
      <c r="A35" s="5" t="s">
        <v>220</v>
      </c>
      <c r="B35" s="448">
        <f>VLOOKUP(model,LookupStrModel,13,FALSE)</f>
        <v>4</v>
      </c>
      <c r="C35" s="51"/>
      <c r="L35" t="s">
        <v>211</v>
      </c>
      <c r="N35" s="2"/>
      <c r="O35" s="13">
        <f>(((((coil_id^2)*PI())/4*VLOOKUP(material,LookupMaterial,4,FALSE)*coil_width)/32.3)*0.5*(((coil_id*0.5)^2)/144))*12</f>
        <v>183.50272878553383</v>
      </c>
      <c r="P35" s="13">
        <f>(coil_id/pinch_dia)*P24</f>
        <v>76.358154774751924</v>
      </c>
      <c r="Q35" s="49">
        <f>(O35/(P35^2))</f>
        <v>3.1472531503105736E-2</v>
      </c>
      <c r="S35" s="13">
        <f>(M34/((coil_id/pinch_dia)*P24))/R38</f>
        <v>158.27959668405157</v>
      </c>
    </row>
    <row r="36" spans="1:19" ht="14.25" customHeight="1" x14ac:dyDescent="0.25">
      <c r="A36" s="5" t="s">
        <v>219</v>
      </c>
      <c r="B36" s="448">
        <v>20</v>
      </c>
      <c r="C36" s="15"/>
    </row>
    <row r="37" spans="1:19" ht="14.25" customHeight="1" x14ac:dyDescent="0.25">
      <c r="G37" t="s">
        <v>79</v>
      </c>
      <c r="M37" s="2">
        <v>0.32</v>
      </c>
      <c r="N37" t="s">
        <v>218</v>
      </c>
      <c r="O37" t="s">
        <v>217</v>
      </c>
      <c r="P37" t="s">
        <v>216</v>
      </c>
      <c r="Q37" t="s">
        <v>215</v>
      </c>
      <c r="R37" t="s">
        <v>214</v>
      </c>
      <c r="S37" t="s">
        <v>213</v>
      </c>
    </row>
    <row r="38" spans="1:19" x14ac:dyDescent="0.25">
      <c r="L38" t="s">
        <v>212</v>
      </c>
      <c r="M38" s="49">
        <f>SUM(Q24:Q34)</f>
        <v>0.48999005019882019</v>
      </c>
      <c r="N38" s="2">
        <v>1750</v>
      </c>
      <c r="O38" s="7">
        <f>(fpm/60)/accel</f>
        <v>2</v>
      </c>
      <c r="P38" s="7">
        <f>(((((((0.667*yield*coil_width*(thk^2))/cent_dist)*0.35*fpm*K28)/33000)*5250)/N38)*12)/R38</f>
        <v>1150.5214973262032</v>
      </c>
      <c r="Q38" s="13">
        <f>(((M38*N38)/(9.55*O38))*(1/R38))+((M41*N38)/(9.55*O38))</f>
        <v>407.94780337837602</v>
      </c>
      <c r="R38" s="2">
        <v>0.85</v>
      </c>
      <c r="S38" s="41">
        <f>S34+P38+Q38</f>
        <v>1602.435855339038</v>
      </c>
    </row>
    <row r="39" spans="1:19" x14ac:dyDescent="0.25">
      <c r="L39" t="s">
        <v>211</v>
      </c>
      <c r="M39" s="49">
        <f>SUM(Q24:Q32)+Q35</f>
        <v>0.11357857342167549</v>
      </c>
      <c r="N39" s="2"/>
      <c r="O39" s="2"/>
      <c r="P39" s="2"/>
      <c r="Q39" s="13">
        <f>(((M39*N38)/(9.55*O38))*(1/R38))+((M41*N38)/(9.55*O38))</f>
        <v>367.37372981139094</v>
      </c>
      <c r="R39" s="2"/>
      <c r="S39" s="41">
        <f>S35+P38+Q39</f>
        <v>1676.1748238216455</v>
      </c>
    </row>
    <row r="40" spans="1:19" x14ac:dyDescent="0.25">
      <c r="M40" s="2" t="s">
        <v>210</v>
      </c>
    </row>
    <row r="41" spans="1:19" x14ac:dyDescent="0.25">
      <c r="M41" s="30">
        <f>'Str. Utility (1)'!$M$41</f>
        <v>3.8759999999999999</v>
      </c>
    </row>
    <row r="47" spans="1:19" x14ac:dyDescent="0.25">
      <c r="L47" t="s">
        <v>209</v>
      </c>
      <c r="R47" t="s">
        <v>208</v>
      </c>
    </row>
    <row r="48" spans="1:19" x14ac:dyDescent="0.25">
      <c r="L48" t="s">
        <v>207</v>
      </c>
      <c r="N48">
        <f>IF(model="SPGPS-810", 165100, IF(model="CPPS-306", 165100, IF(model="CPPS-406", 165100, IF(model="CPPS-507", 165100, 128000))))</f>
        <v>165100</v>
      </c>
    </row>
    <row r="49" spans="1:22" hidden="1" x14ac:dyDescent="0.25">
      <c r="L49" t="s">
        <v>206</v>
      </c>
      <c r="N49">
        <f>$N$48/3</f>
        <v>55033.333333333336</v>
      </c>
      <c r="Q49" t="s">
        <v>205</v>
      </c>
      <c r="S49" s="43">
        <f>B36*(PI()/180)</f>
        <v>0.3490658503988659</v>
      </c>
      <c r="U49" t="s">
        <v>204</v>
      </c>
      <c r="V49" s="44">
        <f>-1*(5/384*V50*((str_width+1.75)^3)/mod/V52)</f>
        <v>-2.9793355656766344E-4</v>
      </c>
    </row>
    <row r="50" spans="1:22" hidden="1" x14ac:dyDescent="0.25">
      <c r="L50" t="s">
        <v>203</v>
      </c>
      <c r="N50">
        <f>N60</f>
        <v>68.751497840806749</v>
      </c>
      <c r="O50" s="43">
        <f>O60</f>
        <v>91.673247220931714</v>
      </c>
      <c r="Q50" t="s">
        <v>202</v>
      </c>
      <c r="S50" s="41">
        <f>P38/COS(S49)</f>
        <v>1224.35940421025</v>
      </c>
      <c r="U50" t="s">
        <v>201</v>
      </c>
      <c r="V50" s="44">
        <f>((str_dia/2)^2)*PI()*(str_width+1.75)*0.283</f>
        <v>243.10527526411641</v>
      </c>
    </row>
    <row r="51" spans="1:22" hidden="1" x14ac:dyDescent="0.25">
      <c r="B51"/>
      <c r="C51" s="5" t="s">
        <v>200</v>
      </c>
      <c r="L51" t="s">
        <v>199</v>
      </c>
      <c r="N51">
        <f>IF(B33=12, 0.245, IF(B33=13, 0.261, IF(B33=14, 0.277, IF(B33=15, 0.29, IF(B33=16, 0.296, IF(B33=17, 0.302, IF(B33=18, 0.314, IF(B33=19, 0.314, IF(B33=20, 0.321, IF(B33=21, 0.327, IF(B33=22, 0.33, IF(B33=24, 0.337, IF(B33=25, 0.341, IF(B33=26, 0.346, IF(B33=27, 0.348, IF(B33=28, 0.352, IF(B33=30, 0.359,IF(B33=31, 0.362, IF(B33=32, 0.365, IF(B33=34, 0.37,))))))))))))))))))))</f>
        <v>0.33700000000000002</v>
      </c>
      <c r="O51">
        <f>IF(B34=12, 0.245, IF(B34=13, 0.261, IF(B34=14, 0.277, IF(B34=15, 0.29, IF(B34=16, 0.296, IF(B34=17, 0.302, IF(B34=18, 0.314, IF(B34=19, 0.314, IF(B34=20, 0.321, IF(B34=21, 0.327, IF(B34=22, 0.33, IF(B34=24, 0.337, IF(B34=25, 0.0341, IF(B34=26, 0.346, IF(B34=27, 0.348, IF(B34=28, 0.352, IF(B34=30, 0.359, IF(B34=31, 0.362, IF(B34=32, 0.365, IF(B34=34, 0.37,))))))))))))))))))))</f>
        <v>0.314</v>
      </c>
      <c r="Q51" t="s">
        <v>198</v>
      </c>
      <c r="S51" s="41">
        <f>S50+L13</f>
        <v>22218.061339801297</v>
      </c>
      <c r="U51" t="s">
        <v>197</v>
      </c>
      <c r="V51" s="44">
        <f>PI()*(str_dia^3)/32</f>
        <v>12.271846303085129</v>
      </c>
    </row>
    <row r="52" spans="1:22" hidden="1" x14ac:dyDescent="0.25">
      <c r="B52" s="5" t="s">
        <v>196</v>
      </c>
      <c r="C52" s="48">
        <f>IF(str_width=coil_width, V58, V58*0.85)</f>
        <v>1.5222343867711159E-2</v>
      </c>
      <c r="D52" s="39"/>
      <c r="F52" s="47" t="str">
        <f>IF(OR(C52&gt;(thk*0.05),C53&gt;=32000), "NEED BACKUPS", "NO BACKUPS REQ.")</f>
        <v>NEED BACKUPS</v>
      </c>
      <c r="H52" s="33"/>
      <c r="I52" s="46"/>
      <c r="J52" s="33"/>
      <c r="Q52" t="s">
        <v>179</v>
      </c>
      <c r="S52" s="39">
        <f>(PI()*((str_dia/2)^4))/4</f>
        <v>30.679615757712824</v>
      </c>
      <c r="U52" t="s">
        <v>193</v>
      </c>
      <c r="V52" s="44">
        <f>PI()*(str_dia^4)/64</f>
        <v>30.679615757712824</v>
      </c>
    </row>
    <row r="53" spans="1:22" hidden="1" x14ac:dyDescent="0.25">
      <c r="B53" s="5" t="s">
        <v>192</v>
      </c>
      <c r="C53" s="45">
        <f>ABS(S59/S53)*1.25</f>
        <v>11824.631470452223</v>
      </c>
      <c r="H53" s="33"/>
      <c r="I53" s="33"/>
      <c r="J53" s="33"/>
      <c r="N53" t="s">
        <v>190</v>
      </c>
      <c r="O53" t="s">
        <v>189</v>
      </c>
      <c r="Q53" t="s">
        <v>188</v>
      </c>
      <c r="S53" s="39">
        <f>S52/(S56)</f>
        <v>12.27184630308513</v>
      </c>
      <c r="U53" t="s">
        <v>187</v>
      </c>
      <c r="V53" s="44">
        <f>((str_width+1.75)-coil_width)/2</f>
        <v>13.875</v>
      </c>
    </row>
    <row r="54" spans="1:22" hidden="1" x14ac:dyDescent="0.25">
      <c r="H54" s="33"/>
      <c r="I54" s="33"/>
      <c r="J54" s="33"/>
      <c r="L54" t="s">
        <v>185</v>
      </c>
      <c r="N54">
        <f>B33/C33</f>
        <v>6</v>
      </c>
      <c r="O54">
        <f>B34/C34</f>
        <v>4.5</v>
      </c>
      <c r="Q54" t="s">
        <v>184</v>
      </c>
      <c r="S54">
        <f>str_width+1.75</f>
        <v>43.75</v>
      </c>
      <c r="U54" t="s">
        <v>183</v>
      </c>
      <c r="V54" s="44">
        <f>F14/2*2</f>
        <v>20309.333333333336</v>
      </c>
    </row>
    <row r="55" spans="1:22" hidden="1" x14ac:dyDescent="0.25">
      <c r="H55" s="33"/>
      <c r="I55" s="33"/>
      <c r="J55" s="33"/>
      <c r="L55" t="s">
        <v>181</v>
      </c>
      <c r="Q55" t="s">
        <v>180</v>
      </c>
      <c r="S55">
        <f>((str_width+1.75)-coil_width)/2</f>
        <v>13.875</v>
      </c>
      <c r="U55" t="s">
        <v>179</v>
      </c>
      <c r="V55" s="44">
        <f>(coil_width*(thk^3)/12)</f>
        <v>3.5999999999999997E-2</v>
      </c>
    </row>
    <row r="56" spans="1:22" hidden="1" x14ac:dyDescent="0.25">
      <c r="H56" s="33"/>
      <c r="I56" s="33"/>
      <c r="J56" s="33"/>
      <c r="L56" t="s">
        <v>178</v>
      </c>
      <c r="N56">
        <f>(N49*B35*N51*600)/(C33*(600+N57))</f>
        <v>15717.266764120166</v>
      </c>
      <c r="O56">
        <f>(N49*B35*O51*600)/(C34*(600+O57))</f>
        <v>14644.463276836159</v>
      </c>
      <c r="Q56" t="s">
        <v>177</v>
      </c>
      <c r="S56">
        <f>str_dia/2</f>
        <v>2.5</v>
      </c>
      <c r="U56" t="s">
        <v>176</v>
      </c>
      <c r="V56" s="44">
        <f>V55/(thk/2)</f>
        <v>0.24</v>
      </c>
    </row>
    <row r="57" spans="1:22" hidden="1" x14ac:dyDescent="0.25">
      <c r="H57" s="33"/>
      <c r="I57" s="33"/>
      <c r="J57" s="33"/>
      <c r="L57" t="s">
        <v>175</v>
      </c>
      <c r="N57" s="43">
        <f>(PI()*N54*$N$50)/12</f>
        <v>107.99460026998651</v>
      </c>
      <c r="O57" s="43">
        <f>(PI()*O54*O50)/12</f>
        <v>108</v>
      </c>
      <c r="Q57" t="s">
        <v>174</v>
      </c>
      <c r="S57">
        <f>S54-S55</f>
        <v>29.875</v>
      </c>
    </row>
    <row r="58" spans="1:22" hidden="1" x14ac:dyDescent="0.25">
      <c r="H58" s="33"/>
      <c r="I58" s="33"/>
      <c r="J58" s="33"/>
      <c r="L58" t="s">
        <v>172</v>
      </c>
      <c r="N58">
        <f>(N56*N57)/33000</f>
        <v>51.435755803875807</v>
      </c>
      <c r="O58">
        <f>(O56*O57)/33000</f>
        <v>47.927334360554703</v>
      </c>
      <c r="Q58" t="s">
        <v>171</v>
      </c>
      <c r="S58" s="43">
        <f>(S51/(coil_width*((str_width+1.75)^2)))*(((1/(2*(str_width+1.75))*((S55^4)-(((str_width+1.75)-S55)^4)))-(S55^3)+(((str_width+1.75)-S55)^3)))</f>
        <v>11109.030669900649</v>
      </c>
      <c r="U58" t="s">
        <v>170</v>
      </c>
      <c r="V58" s="39">
        <f>ABS(V63-V62)</f>
        <v>1.7908639844366071E-2</v>
      </c>
    </row>
    <row r="59" spans="1:22" hidden="1" x14ac:dyDescent="0.25">
      <c r="A59" t="s">
        <v>169</v>
      </c>
      <c r="B59" s="599">
        <f>VLOOKUP(model,LookupStrModel,7,FALSE)</f>
        <v>0.18</v>
      </c>
      <c r="E59" t="s">
        <v>138</v>
      </c>
      <c r="Q59" t="s">
        <v>168</v>
      </c>
      <c r="S59" s="43">
        <f>(S51/(2*coil_width*S54))*(((S55^4-S57^4)/(2*S54))-(2/3*S55^3)+(2/3*S57^3))</f>
        <v>116088.04799681056</v>
      </c>
      <c r="U59" t="s">
        <v>167</v>
      </c>
      <c r="V59" s="39">
        <f>-1*(V54*V53/(24*mod*V52)*((3*((str_width+1.75)^2))-(4*(V53^2))))+V49</f>
        <v>-6.5914204027984993E-2</v>
      </c>
    </row>
    <row r="60" spans="1:22" hidden="1" x14ac:dyDescent="0.25">
      <c r="A60" t="s">
        <v>166</v>
      </c>
      <c r="B60" s="4">
        <f>VLOOKUP(model,LookupStrModel, 8, FALSE)</f>
        <v>0.18</v>
      </c>
      <c r="E60" s="34">
        <v>0.33</v>
      </c>
      <c r="L60" s="992" t="s">
        <v>165</v>
      </c>
      <c r="M60" s="992"/>
      <c r="N60">
        <f>(fpm*12)/(PI()*pinch_dia)</f>
        <v>68.751497840806749</v>
      </c>
      <c r="O60">
        <f>(fpm*12)/(PI()*str_dia)</f>
        <v>91.673247220931714</v>
      </c>
      <c r="U60" t="s">
        <v>164</v>
      </c>
      <c r="V60" s="39">
        <f>-1*(V54*(V53^2)/6/mod/V52*(3*(str_width+1.75)-4*V53)+(V49*V53/(str_width+1.75)/2))</f>
        <v>-5.5433864045402785E-2</v>
      </c>
    </row>
    <row r="61" spans="1:22" hidden="1" x14ac:dyDescent="0.25">
      <c r="Q61" t="s">
        <v>163</v>
      </c>
      <c r="R61">
        <f>(S55*S58)-S59</f>
        <v>38049.752548060947</v>
      </c>
      <c r="U61" t="s">
        <v>162</v>
      </c>
      <c r="V61" s="39">
        <f>(V54*(V53^2)/6/mod/V52*(2*V53+(3*V53)))+(V49*V53/(str_width+0.73)/2)</f>
        <v>5.0763534157340494E-2</v>
      </c>
    </row>
    <row r="62" spans="1:22" hidden="1" x14ac:dyDescent="0.25">
      <c r="U62" t="s">
        <v>161</v>
      </c>
      <c r="V62" s="39">
        <f>V54*V53*(V53^2)/(8*mod*V52)+(2*V53/(str_width+0.73)*V49)</f>
        <v>7.4282998617838632E-3</v>
      </c>
    </row>
    <row r="63" spans="1:22" hidden="1" x14ac:dyDescent="0.25">
      <c r="A63" s="33"/>
      <c r="B63" s="42"/>
      <c r="C63" s="33"/>
      <c r="D63" s="33"/>
      <c r="E63" s="33"/>
      <c r="F63" s="33"/>
      <c r="G63" s="33"/>
      <c r="H63" s="33"/>
      <c r="I63" s="33"/>
      <c r="Q63" t="s">
        <v>152</v>
      </c>
      <c r="S63" s="40">
        <f>ABS(((S55^2)/(6*mod*S52))*((S58*S55)-(3*S59)))</f>
        <v>7.0008583977512282E-3</v>
      </c>
      <c r="U63" t="s">
        <v>151</v>
      </c>
      <c r="V63" s="39">
        <f>V59-V60</f>
        <v>-1.0480339982582208E-2</v>
      </c>
    </row>
    <row r="64" spans="1:22" hidden="1" x14ac:dyDescent="0.25">
      <c r="A64" s="33"/>
      <c r="B64" s="37"/>
      <c r="C64" s="36"/>
      <c r="D64" s="33"/>
      <c r="E64" s="33"/>
      <c r="F64" s="33"/>
      <c r="G64" s="36"/>
      <c r="H64" s="36"/>
      <c r="J64" s="41"/>
      <c r="S64" s="40"/>
      <c r="V64" s="39"/>
    </row>
    <row r="65" spans="1:22" hidden="1" x14ac:dyDescent="0.25">
      <c r="A65" s="33"/>
      <c r="B65" s="37"/>
      <c r="C65" s="36"/>
      <c r="D65" s="33"/>
      <c r="E65" s="33"/>
      <c r="F65" s="33"/>
      <c r="G65" s="36"/>
      <c r="H65" s="36"/>
      <c r="J65" s="41"/>
      <c r="S65" s="40"/>
      <c r="V65" s="39"/>
    </row>
    <row r="66" spans="1:22" hidden="1" x14ac:dyDescent="0.25">
      <c r="A66" s="33"/>
      <c r="B66" s="37"/>
      <c r="C66" s="36"/>
      <c r="D66" s="33"/>
      <c r="E66" s="33"/>
      <c r="F66" s="33"/>
      <c r="G66" s="36"/>
      <c r="H66" s="36"/>
      <c r="J66" s="41"/>
      <c r="S66" s="40"/>
      <c r="V66" s="39"/>
    </row>
    <row r="67" spans="1:22" hidden="1" x14ac:dyDescent="0.25">
      <c r="A67" s="35"/>
      <c r="B67" s="37"/>
      <c r="C67" s="36"/>
      <c r="D67" s="36"/>
      <c r="E67" s="33"/>
      <c r="F67" s="36"/>
      <c r="G67" s="36"/>
      <c r="H67" s="36"/>
      <c r="J67" s="38"/>
    </row>
    <row r="68" spans="1:22" x14ac:dyDescent="0.25">
      <c r="A68" s="35"/>
      <c r="B68" s="37"/>
      <c r="C68" s="36"/>
      <c r="D68" s="36"/>
      <c r="E68" s="33"/>
      <c r="F68" s="36"/>
      <c r="G68" s="36"/>
      <c r="H68" s="36"/>
      <c r="J68" s="38"/>
    </row>
    <row r="69" spans="1:22" x14ac:dyDescent="0.25">
      <c r="A69" s="35"/>
      <c r="B69" s="37"/>
      <c r="C69" s="36"/>
      <c r="D69" s="36"/>
      <c r="E69" s="33"/>
      <c r="F69" s="36"/>
      <c r="G69" s="36"/>
      <c r="H69" s="36"/>
      <c r="J69" s="38"/>
      <c r="Q69" t="s">
        <v>144</v>
      </c>
      <c r="S69">
        <f>S59/S53*1.2</f>
        <v>11351.646211634134</v>
      </c>
      <c r="V69">
        <f>IF(str_width=coil_width, ((F14*((str_width+1.25)^3))/(384*mod*V52)), V58)</f>
        <v>1.7908639844366071E-2</v>
      </c>
    </row>
    <row r="70" spans="1:22" x14ac:dyDescent="0.25">
      <c r="A70" s="35"/>
      <c r="B70" s="37"/>
      <c r="C70" s="36"/>
      <c r="D70" s="36"/>
      <c r="E70" s="33"/>
      <c r="F70" s="36"/>
      <c r="G70" s="36"/>
      <c r="H70" s="36"/>
      <c r="J70" s="38"/>
    </row>
    <row r="71" spans="1:22" x14ac:dyDescent="0.25">
      <c r="A71" s="35"/>
      <c r="B71" s="37"/>
      <c r="C71" s="36"/>
      <c r="D71" s="36"/>
      <c r="E71" s="33"/>
      <c r="F71" s="36"/>
      <c r="G71" s="36"/>
      <c r="H71" s="36"/>
      <c r="J71" s="38"/>
    </row>
    <row r="72" spans="1:22" x14ac:dyDescent="0.25">
      <c r="A72" s="35"/>
      <c r="B72" s="37"/>
      <c r="C72" s="36"/>
      <c r="D72" s="36"/>
      <c r="E72" s="33"/>
      <c r="F72" s="36"/>
      <c r="G72" s="36"/>
      <c r="H72" s="36"/>
      <c r="J72" s="38"/>
    </row>
    <row r="73" spans="1:22" x14ac:dyDescent="0.25">
      <c r="A73" s="35"/>
      <c r="B73" s="37"/>
      <c r="C73" s="36"/>
      <c r="D73" s="36"/>
      <c r="E73" s="33"/>
      <c r="F73" s="36"/>
      <c r="G73" s="36"/>
      <c r="H73" s="36"/>
      <c r="J73" s="38"/>
    </row>
    <row r="74" spans="1:22" x14ac:dyDescent="0.25">
      <c r="A74" s="35"/>
      <c r="B74" s="37"/>
      <c r="C74" s="36"/>
      <c r="D74" s="36"/>
      <c r="E74" s="33"/>
      <c r="F74" s="36"/>
      <c r="G74" s="36"/>
      <c r="H74" s="36"/>
      <c r="I74" s="33"/>
    </row>
    <row r="75" spans="1:22" x14ac:dyDescent="0.25">
      <c r="A75" s="35"/>
      <c r="B75" s="37"/>
      <c r="C75" s="36"/>
      <c r="D75" s="36"/>
      <c r="E75" s="33"/>
      <c r="F75" s="36"/>
      <c r="G75" s="33"/>
      <c r="H75" s="33"/>
    </row>
    <row r="76" spans="1:22" x14ac:dyDescent="0.25">
      <c r="A76" s="35"/>
    </row>
    <row r="77" spans="1:22" x14ac:dyDescent="0.25">
      <c r="G77" s="33"/>
      <c r="H77" s="33"/>
    </row>
    <row r="88" spans="2:4" x14ac:dyDescent="0.25">
      <c r="B88"/>
    </row>
    <row r="89" spans="2:4" x14ac:dyDescent="0.25">
      <c r="B89" s="33"/>
    </row>
    <row r="90" spans="2:4" x14ac:dyDescent="0.25">
      <c r="B90" s="33"/>
      <c r="C90" s="33"/>
    </row>
    <row r="91" spans="2:4" x14ac:dyDescent="0.25">
      <c r="B91" s="33"/>
      <c r="C91" s="33"/>
      <c r="D91" s="33"/>
    </row>
    <row r="92" spans="2:4" x14ac:dyDescent="0.25">
      <c r="B92" s="33"/>
      <c r="C92" s="33"/>
      <c r="D92" s="33"/>
    </row>
    <row r="93" spans="2:4" x14ac:dyDescent="0.25">
      <c r="B93" s="33"/>
      <c r="C93" s="33"/>
      <c r="D93" s="33"/>
    </row>
    <row r="94" spans="2:4" x14ac:dyDescent="0.25">
      <c r="B94" s="33"/>
      <c r="C94" s="33"/>
      <c r="D94" s="33"/>
    </row>
  </sheetData>
  <sheetProtection algorithmName="SHA-512" hashValue="iCb3C8u/VM1apW4TxCggWmHep4AGxR1uPNSO5qKk+fhhDaZyIHOZnKuxchXxfA5KQ1yp8oc/xv7Fwv/a4LBZ4Q==" saltValue="kaErwvm91UODhEAk5l3b7A==" spinCount="100000" sheet="1" objects="1" scenarios="1"/>
  <mergeCells count="6">
    <mergeCell ref="B4:F4"/>
    <mergeCell ref="B5:F5"/>
    <mergeCell ref="B6:F6"/>
    <mergeCell ref="E20:F20"/>
    <mergeCell ref="L60:M60"/>
    <mergeCell ref="B9:C9"/>
  </mergeCells>
  <conditionalFormatting sqref="B15">
    <cfRule type="cellIs" dxfId="221" priority="31" operator="greaterThan">
      <formula>$B$10</formula>
    </cfRule>
  </conditionalFormatting>
  <conditionalFormatting sqref="C52">
    <cfRule type="cellIs" dxfId="220" priority="20" operator="lessThanOrEqual">
      <formula>$B$16*0.05</formula>
    </cfRule>
    <cfRule type="cellIs" dxfId="219" priority="26" operator="greaterThan">
      <formula>$B$16*0.05</formula>
    </cfRule>
  </conditionalFormatting>
  <conditionalFormatting sqref="B10">
    <cfRule type="expression" dxfId="218" priority="15">
      <formula>IF(AND(B9="CPPS-406",B10=18),"","")</formula>
    </cfRule>
  </conditionalFormatting>
  <conditionalFormatting sqref="S7 F14">
    <cfRule type="cellIs" dxfId="217" priority="32" operator="greaterThan">
      <formula>$B$28</formula>
    </cfRule>
    <cfRule type="cellIs" dxfId="216" priority="33" operator="lessThanOrEqual">
      <formula>$B$28</formula>
    </cfRule>
  </conditionalFormatting>
  <conditionalFormatting sqref="G20">
    <cfRule type="expression" dxfId="215" priority="10">
      <formula>AND($B$20=7, $G$20&lt;=7.5)</formula>
    </cfRule>
    <cfRule type="cellIs" dxfId="214" priority="18" operator="lessThanOrEqual">
      <formula>$B$20</formula>
    </cfRule>
    <cfRule type="cellIs" dxfId="213" priority="19" operator="greaterThan">
      <formula>$B$20</formula>
    </cfRule>
  </conditionalFormatting>
  <conditionalFormatting sqref="C53">
    <cfRule type="cellIs" dxfId="212" priority="16" operator="greaterThan">
      <formula>32000</formula>
    </cfRule>
    <cfRule type="cellIs" dxfId="211" priority="17" operator="lessThanOrEqual">
      <formula>32000</formula>
    </cfRule>
  </conditionalFormatting>
  <conditionalFormatting sqref="F18">
    <cfRule type="cellIs" dxfId="210" priority="13" operator="greaterThan">
      <formula>$G$18</formula>
    </cfRule>
    <cfRule type="cellIs" dxfId="209" priority="14" operator="lessThanOrEqual">
      <formula>$G$18</formula>
    </cfRule>
  </conditionalFormatting>
  <conditionalFormatting sqref="F19">
    <cfRule type="cellIs" dxfId="208" priority="11" operator="greaterThan">
      <formula>$G$19</formula>
    </cfRule>
    <cfRule type="cellIs" dxfId="207" priority="12" operator="lessThanOrEqual">
      <formula>$G$19</formula>
    </cfRule>
  </conditionalFormatting>
  <conditionalFormatting sqref="I25">
    <cfRule type="cellIs" dxfId="206" priority="8" operator="notEqual">
      <formula>"OK"</formula>
    </cfRule>
    <cfRule type="cellIs" dxfId="205" priority="9" operator="equal">
      <formula>"OK"</formula>
    </cfRule>
  </conditionalFormatting>
  <conditionalFormatting sqref="I13">
    <cfRule type="cellIs" dxfId="204" priority="7" operator="notEqual">
      <formula>"JACK FORCE OK"</formula>
    </cfRule>
  </conditionalFormatting>
  <conditionalFormatting sqref="I18">
    <cfRule type="cellIs" dxfId="203" priority="6" operator="notEqual">
      <formula>"PINCH GEAR OK"</formula>
    </cfRule>
  </conditionalFormatting>
  <conditionalFormatting sqref="I19">
    <cfRule type="cellIs" dxfId="202" priority="5" operator="notEqual">
      <formula>"STR GEAR OK"</formula>
    </cfRule>
  </conditionalFormatting>
  <conditionalFormatting sqref="I22">
    <cfRule type="cellIs" dxfId="201" priority="4" operator="notEqual">
      <formula>"FPM SUFFICIENT"</formula>
    </cfRule>
  </conditionalFormatting>
  <conditionalFormatting sqref="I20">
    <cfRule type="cellIs" dxfId="200" priority="3" operator="notEqual">
      <formula>"HP SUFFICIENT"</formula>
    </cfRule>
  </conditionalFormatting>
  <conditionalFormatting sqref="I24">
    <cfRule type="cellIs" dxfId="199" priority="2" operator="notEqual">
      <formula>"OK"</formula>
    </cfRule>
  </conditionalFormatting>
  <conditionalFormatting sqref="I14">
    <cfRule type="cellIs" dxfId="198" priority="1" operator="notEqual">
      <formula>""</formula>
    </cfRule>
  </conditionalFormatting>
  <pageMargins left="0.7" right="0.25" top="0.75" bottom="0.5" header="0.3" footer="0.3"/>
  <pageSetup scale="9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Spinner 1">
              <controlPr defaultSize="0" autoPict="0">
                <anchor moveWithCells="1" sizeWithCells="1">
                  <from>
                    <xdr:col>10</xdr:col>
                    <xdr:colOff>0</xdr:colOff>
                    <xdr:row>8</xdr:row>
                    <xdr:rowOff>0</xdr:rowOff>
                  </from>
                  <to>
                    <xdr:col>10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5" name="Button 9">
              <controlPr defaultSize="0" print="0" autoFill="0" autoPict="0" macro="[0]!Tbl_Contents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190500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CE8B72-1E71-4156-8581-3E8A9D50555F}">
  <sheetPr codeName="Sheet33">
    <tabColor theme="1"/>
    <pageSetUpPr fitToPage="1"/>
  </sheetPr>
  <dimension ref="A1:X94"/>
  <sheetViews>
    <sheetView zoomScaleNormal="100" workbookViewId="0">
      <selection activeCell="B21" sqref="B21"/>
    </sheetView>
  </sheetViews>
  <sheetFormatPr defaultRowHeight="15" x14ac:dyDescent="0.25"/>
  <cols>
    <col min="1" max="1" width="20.42578125" customWidth="1"/>
    <col min="2" max="2" width="10.42578125" style="2" customWidth="1"/>
    <col min="3" max="3" width="10.28515625" customWidth="1"/>
    <col min="4" max="4" width="4.28515625" customWidth="1"/>
    <col min="5" max="5" width="18.7109375" customWidth="1"/>
    <col min="6" max="6" width="20.7109375" customWidth="1"/>
    <col min="7" max="7" width="16.7109375" customWidth="1"/>
    <col min="8" max="8" width="7.28515625" customWidth="1"/>
    <col min="9" max="9" width="20" bestFit="1" customWidth="1"/>
    <col min="10" max="10" width="11.7109375" customWidth="1"/>
    <col min="11" max="11" width="20" hidden="1" customWidth="1"/>
    <col min="12" max="12" width="10.28515625" hidden="1" customWidth="1"/>
    <col min="13" max="13" width="10.28515625" style="2" hidden="1" customWidth="1"/>
    <col min="14" max="14" width="10.7109375" hidden="1" customWidth="1"/>
    <col min="15" max="15" width="11.42578125" hidden="1" customWidth="1"/>
    <col min="16" max="16" width="10.7109375" hidden="1" customWidth="1"/>
    <col min="17" max="18" width="9.28515625" hidden="1" customWidth="1"/>
    <col min="19" max="19" width="12.42578125" hidden="1" customWidth="1"/>
    <col min="20" max="20" width="10.7109375" hidden="1" customWidth="1"/>
    <col min="21" max="21" width="20.42578125" hidden="1" customWidth="1"/>
    <col min="22" max="22" width="11" hidden="1" customWidth="1"/>
    <col min="23" max="24" width="9.28515625" hidden="1" customWidth="1"/>
    <col min="25" max="26" width="9.28515625" customWidth="1"/>
  </cols>
  <sheetData>
    <row r="1" spans="1:23" ht="18.75" x14ac:dyDescent="0.3">
      <c r="E1" s="32" t="s">
        <v>0</v>
      </c>
      <c r="K1" s="598">
        <f>'Str. Utility (1)'!K1</f>
        <v>0</v>
      </c>
      <c r="L1" t="s">
        <v>309</v>
      </c>
      <c r="M1" s="7">
        <f>IF( payoff="TOP", -coil_od/2, coil_od/2)</f>
        <v>-29.152128748386836</v>
      </c>
      <c r="O1" t="s">
        <v>308</v>
      </c>
      <c r="P1" s="7">
        <f>1/curv_at_yld</f>
        <v>10.15</v>
      </c>
    </row>
    <row r="2" spans="1:23" x14ac:dyDescent="0.25">
      <c r="E2" s="64" t="s">
        <v>307</v>
      </c>
      <c r="K2" s="598">
        <f>'Str. Utility (1)'!K2</f>
        <v>50</v>
      </c>
      <c r="L2" t="s">
        <v>306</v>
      </c>
      <c r="M2" s="7">
        <f>IF(ABS(1/M1)&gt;curv_at_yld,1/((1/M1)-((ABS(M1)/M1)*(1.5*(1-creep))*curv_at_yld*(1-((1/3)*(curv_at_yld/(1/M1))^2)))), IF(creep=0, ABS(M1)/M1*99999, M1/creep))</f>
        <v>-88.339784086020714</v>
      </c>
      <c r="O2" t="s">
        <v>305</v>
      </c>
      <c r="P2" s="2">
        <f>coil_width*yield*(thk^2)/6</f>
        <v>306.25000000000006</v>
      </c>
    </row>
    <row r="3" spans="1:23" x14ac:dyDescent="0.25">
      <c r="B3"/>
      <c r="E3" s="64"/>
      <c r="K3" s="598" t="str">
        <f>'Str. Utility (1)'!K3</f>
        <v>CPPS-507</v>
      </c>
      <c r="M3" s="7"/>
      <c r="P3" s="2"/>
    </row>
    <row r="4" spans="1:23" x14ac:dyDescent="0.25">
      <c r="A4" s="5" t="s">
        <v>1</v>
      </c>
      <c r="B4" s="987" t="str">
        <f>Customer</f>
        <v>ULTRATECH TOOL&amp; DESIGN, INC.</v>
      </c>
      <c r="C4" s="987"/>
      <c r="D4" s="987"/>
      <c r="E4" s="987"/>
      <c r="F4" s="987"/>
      <c r="K4" s="598">
        <f>'Str. Utility (1)'!K4</f>
        <v>42</v>
      </c>
      <c r="M4" s="7"/>
      <c r="P4" s="2"/>
    </row>
    <row r="5" spans="1:23" x14ac:dyDescent="0.25">
      <c r="A5" s="5" t="s">
        <v>2</v>
      </c>
      <c r="B5" s="988">
        <f>CalcDate</f>
        <v>0</v>
      </c>
      <c r="C5" s="989"/>
      <c r="D5" s="989"/>
      <c r="E5" s="989"/>
      <c r="F5" s="989"/>
      <c r="M5" s="7"/>
      <c r="P5" s="2"/>
    </row>
    <row r="6" spans="1:23" x14ac:dyDescent="0.25">
      <c r="A6" s="5" t="s">
        <v>3</v>
      </c>
      <c r="B6" s="987">
        <f>Reference</f>
        <v>0</v>
      </c>
      <c r="C6" s="987"/>
      <c r="D6" s="987"/>
      <c r="E6" s="987"/>
      <c r="F6" s="987"/>
      <c r="M6" s="7"/>
      <c r="P6" s="2"/>
    </row>
    <row r="7" spans="1:23" x14ac:dyDescent="0.25">
      <c r="L7" t="s">
        <v>304</v>
      </c>
      <c r="M7" s="49">
        <f>1/M2</f>
        <v>-1.1319928052192788E-2</v>
      </c>
      <c r="R7" s="60" t="s">
        <v>303</v>
      </c>
      <c r="S7" s="63">
        <f>L13</f>
        <v>115.57380196070979</v>
      </c>
      <c r="T7" s="62" t="str">
        <f>L14</f>
        <v xml:space="preserve"> NONE</v>
      </c>
    </row>
    <row r="8" spans="1:23" x14ac:dyDescent="0.25">
      <c r="A8" s="57" t="s">
        <v>302</v>
      </c>
      <c r="B8" s="712" t="str">
        <f>'Str. Utility (1)'!B8</f>
        <v>TOP</v>
      </c>
      <c r="L8" t="s">
        <v>301</v>
      </c>
      <c r="M8" s="49">
        <f>2*yield/(thk*mod)</f>
        <v>9.852216748768472E-2</v>
      </c>
    </row>
    <row r="9" spans="1:23" x14ac:dyDescent="0.25">
      <c r="A9" s="57" t="s">
        <v>300</v>
      </c>
      <c r="B9" s="995" t="str">
        <f>'Str. Utility (1)'!model</f>
        <v>CPPS-507</v>
      </c>
      <c r="C9" s="996"/>
    </row>
    <row r="10" spans="1:23" x14ac:dyDescent="0.25">
      <c r="A10" s="57" t="s">
        <v>299</v>
      </c>
      <c r="B10" s="713">
        <f>'Str. Utility (1)'!str_width</f>
        <v>42</v>
      </c>
      <c r="C10" s="54"/>
      <c r="D10" s="54"/>
      <c r="L10">
        <v>9706.5564862906867</v>
      </c>
    </row>
    <row r="11" spans="1:23" x14ac:dyDescent="0.25">
      <c r="A11" s="57" t="s">
        <v>298</v>
      </c>
      <c r="B11" s="448">
        <f>'Str. Utility (1)'!B11</f>
        <v>7</v>
      </c>
      <c r="C11" s="54"/>
      <c r="D11" s="54"/>
      <c r="L11" t="s">
        <v>297</v>
      </c>
      <c r="M11"/>
      <c r="N11" t="s">
        <v>296</v>
      </c>
      <c r="P11" t="s">
        <v>295</v>
      </c>
      <c r="R11" t="s">
        <v>294</v>
      </c>
      <c r="S11" t="s">
        <v>293</v>
      </c>
      <c r="T11" t="s">
        <v>292</v>
      </c>
      <c r="U11" t="s">
        <v>291</v>
      </c>
    </row>
    <row r="12" spans="1:23" x14ac:dyDescent="0.25">
      <c r="K12" t="s">
        <v>290</v>
      </c>
      <c r="L12" s="4">
        <f>IF((L10-10000)/1000&lt;B29, "TOO DEEP!", (L10-10000)/1000)</f>
        <v>-0.29344351370931326</v>
      </c>
      <c r="M12" s="4"/>
      <c r="N12" s="4">
        <f>L12+((P12-L12)/2)</f>
        <v>-0.13272175685465662</v>
      </c>
      <c r="O12" s="4"/>
      <c r="P12" s="4">
        <f>thk*0.8</f>
        <v>2.8000000000000004E-2</v>
      </c>
      <c r="R12" s="39">
        <f>rad_at_yld/2</f>
        <v>5.0750000000000002</v>
      </c>
      <c r="S12" s="39">
        <f>R12-(SQRT(((R12+(thk/4))^2)-((cent_dist/4)^2)))</f>
        <v>0.51627056489420475</v>
      </c>
      <c r="T12" s="39">
        <f>ABS(S12)*-2*1.07</f>
        <v>-1.1048190088735983</v>
      </c>
      <c r="U12" s="43">
        <f>10000+(V20*1000)</f>
        <v>8562.5452970641836</v>
      </c>
      <c r="V12" s="43">
        <f>10000+(B29*1000)</f>
        <v>8750</v>
      </c>
      <c r="W12" s="43">
        <f>IF(U12&gt;V12,U12,V12)</f>
        <v>8750</v>
      </c>
    </row>
    <row r="13" spans="1:23" x14ac:dyDescent="0.25">
      <c r="A13" s="57" t="s">
        <v>289</v>
      </c>
      <c r="B13" s="530">
        <f>CoilWeight_3</f>
        <v>20000</v>
      </c>
      <c r="C13" s="61"/>
      <c r="D13" s="61"/>
      <c r="F13" s="50" t="s">
        <v>288</v>
      </c>
      <c r="G13" s="50" t="s">
        <v>287</v>
      </c>
      <c r="I13" s="769" t="str">
        <f>IF(jack_force&gt;F14, "JACK FORCE OK", "NOT ENOUGH FORCE")</f>
        <v>JACK FORCE OK</v>
      </c>
      <c r="K13" t="s">
        <v>286</v>
      </c>
      <c r="L13" s="7">
        <f>L18*5.333/cent_dist</f>
        <v>115.57380196070979</v>
      </c>
      <c r="M13" s="7"/>
      <c r="N13" s="7">
        <f>N18*5.333/cent_dist</f>
        <v>81.789050739001112</v>
      </c>
      <c r="O13" s="7"/>
      <c r="P13" s="7">
        <f>P18*5.3333/cent_dist</f>
        <v>22.791804256331929</v>
      </c>
      <c r="R13" s="39"/>
      <c r="S13" s="39">
        <f>R12-(SQRT(((R12+(thk/4))*((R12+(thk/4)))-(((cent_dist/4)*(cent_dist/4))))))</f>
        <v>0.51627056489420475</v>
      </c>
      <c r="T13" s="39"/>
      <c r="U13" s="43"/>
      <c r="V13" s="43"/>
      <c r="W13" s="43"/>
    </row>
    <row r="14" spans="1:23" x14ac:dyDescent="0.25">
      <c r="A14" s="57" t="s">
        <v>285</v>
      </c>
      <c r="B14" s="448">
        <f>CoilID_3</f>
        <v>20</v>
      </c>
      <c r="C14" s="61"/>
      <c r="D14" s="61"/>
      <c r="E14" s="60" t="s">
        <v>284</v>
      </c>
      <c r="F14" s="530">
        <f>((16*yield*coil_width*thk^2)/(15*cent_dist))+(((16*yield*coil_width*thk^2)/(15*cent_dist))*0.19)</f>
        <v>259.15555555555557</v>
      </c>
      <c r="G14" s="58">
        <f>jack_force</f>
        <v>60000</v>
      </c>
      <c r="I14" s="774" t="str">
        <f>IF(F14&gt;(G14*0.6),"Back Up Rolls Recommended", "")</f>
        <v/>
      </c>
      <c r="K14" t="s">
        <v>283</v>
      </c>
      <c r="L14" s="59" t="str">
        <f>IF(curv_at_yld&lt;ABS(L17),1-ABS(curv_at_yld/L17)," NONE")</f>
        <v xml:space="preserve"> NONE</v>
      </c>
      <c r="M14" s="59" t="str">
        <f>IF(curv_at_yld&lt;ABS(M17),1-ABS(curv_at_yld/M17)," NONE")</f>
        <v xml:space="preserve"> NONE</v>
      </c>
      <c r="N14" s="59" t="str">
        <f>IF(curv_at_yld&lt;ABS(N17),1-ABS(curv_at_yld/N17)," NONE")</f>
        <v xml:space="preserve"> NONE</v>
      </c>
      <c r="O14" s="59" t="str">
        <f>IF(curv_at_yld&lt;ABS(O17),1-ABS(curv_at_yld/O17)," NONE")</f>
        <v xml:space="preserve"> NONE</v>
      </c>
      <c r="P14" s="59" t="str">
        <f>IF(curv_at_yld&lt;ABS(P17),1-ABS(curv_at_yld/P17)," NONE")</f>
        <v xml:space="preserve"> NONE</v>
      </c>
      <c r="R14" s="39"/>
      <c r="S14" s="39">
        <f>(SQRT(((R12+(thk/4))*((R12+(thk/4)))-(((cent_dist/4)*(cent_dist/4))))))</f>
        <v>4.5587294351057954</v>
      </c>
      <c r="T14" s="39">
        <f>S14-R12</f>
        <v>-0.51627056489420475</v>
      </c>
      <c r="U14" s="43"/>
      <c r="V14" s="43"/>
      <c r="W14" s="43"/>
    </row>
    <row r="15" spans="1:23" x14ac:dyDescent="0.25">
      <c r="A15" s="57" t="s">
        <v>282</v>
      </c>
      <c r="B15" s="448">
        <f>CoilWidth_3</f>
        <v>30</v>
      </c>
      <c r="C15" s="54"/>
      <c r="D15" s="54"/>
      <c r="F15" s="2"/>
      <c r="G15" s="2"/>
      <c r="K15" s="2" t="s">
        <v>281</v>
      </c>
      <c r="L15" s="7">
        <f>(1.314-$B$59*thk+$B$60*L12)*((-0.25*B27^2)-(L12^2)+(2*L12*thk)-thk^2)/(4*(L12+0.00000001)-4*thk)</f>
        <v>19.445272535383815</v>
      </c>
      <c r="M15" s="7">
        <f>-L15</f>
        <v>-19.445272535383815</v>
      </c>
      <c r="N15" s="7">
        <f>((-0.25*B27^2)-($N$12^2)+(2*$N$12*thk)-thk^2)/(4*($N$12+0.00000001)-4*thk)</f>
        <v>30.225851697834571</v>
      </c>
      <c r="O15" s="7">
        <f>-N15</f>
        <v>-30.225851697834571</v>
      </c>
      <c r="P15" s="7">
        <f>(1.314-$B$59*thk+$B$60*P12)*((-0.25*B27^2)-(P12^2)+(2*P12*thk)-thk^2)/(4*(P12+0.00000001)-4*thk)</f>
        <v>949.39597500353614</v>
      </c>
      <c r="S15">
        <v>4</v>
      </c>
      <c r="T15">
        <v>8</v>
      </c>
      <c r="U15">
        <v>2</v>
      </c>
      <c r="V15">
        <v>3</v>
      </c>
    </row>
    <row r="16" spans="1:23" x14ac:dyDescent="0.25">
      <c r="A16" s="57" t="s">
        <v>280</v>
      </c>
      <c r="B16" s="569">
        <f>Thickness_3</f>
        <v>3.5000000000000003E-2</v>
      </c>
      <c r="C16" s="54"/>
      <c r="D16" s="54"/>
      <c r="F16" s="2"/>
      <c r="G16" s="2"/>
      <c r="K16" s="2" t="s">
        <v>279</v>
      </c>
      <c r="L16" s="2" t="s">
        <v>277</v>
      </c>
      <c r="M16" s="2" t="s">
        <v>278</v>
      </c>
      <c r="N16" s="2" t="s">
        <v>277</v>
      </c>
      <c r="O16" s="2" t="s">
        <v>278</v>
      </c>
      <c r="P16" s="2" t="s">
        <v>277</v>
      </c>
      <c r="R16" s="2" t="s">
        <v>276</v>
      </c>
      <c r="S16" s="39">
        <f>SQRT(((S18)^2)-((S17)^2))</f>
        <v>4.5489696635611896</v>
      </c>
      <c r="T16" s="39">
        <f>SQRT(((T18)^2)-((T17)^2))</f>
        <v>4.948737212663449</v>
      </c>
      <c r="U16" s="39">
        <f>SQRT(((U18)^2)-((U17)^2))</f>
        <v>2.3464068274704628</v>
      </c>
      <c r="V16" s="39">
        <f>SQRT(((V18)^2)-((V17)^2))</f>
        <v>4.0933635313761227</v>
      </c>
    </row>
    <row r="17" spans="1:23" x14ac:dyDescent="0.25">
      <c r="A17" s="57" t="s">
        <v>275</v>
      </c>
      <c r="B17" s="530">
        <f>YieldStrength_3</f>
        <v>50000</v>
      </c>
      <c r="C17" s="54"/>
      <c r="D17" s="54"/>
      <c r="F17" s="50" t="s">
        <v>274</v>
      </c>
      <c r="G17" s="50" t="s">
        <v>273</v>
      </c>
      <c r="H17" s="2"/>
      <c r="K17" s="2" t="s">
        <v>272</v>
      </c>
      <c r="L17" s="49">
        <f>1/L15-$M$7</f>
        <v>6.2746309358000588E-2</v>
      </c>
      <c r="M17" s="49">
        <f>1/M15-1/L21</f>
        <v>-4.0106453253615018E-2</v>
      </c>
      <c r="N17" s="49">
        <f>1/N15-1/M21</f>
        <v>4.4404190159905092E-2</v>
      </c>
      <c r="O17" s="49">
        <f>1/O15-1/N21</f>
        <v>-2.176433405551953E-2</v>
      </c>
      <c r="P17" s="49">
        <f>1/P15-1/O21</f>
        <v>1.2373229336724008E-2</v>
      </c>
      <c r="R17" t="s">
        <v>271</v>
      </c>
      <c r="S17">
        <f>cent_dist/S15</f>
        <v>2.25</v>
      </c>
      <c r="T17">
        <f>cent_dist/T15</f>
        <v>1.125</v>
      </c>
      <c r="U17">
        <f>cent_dist/U15</f>
        <v>4.5</v>
      </c>
      <c r="V17">
        <f>cent_dist/V15</f>
        <v>3</v>
      </c>
    </row>
    <row r="18" spans="1:23" x14ac:dyDescent="0.25">
      <c r="A18" s="57" t="s">
        <v>63</v>
      </c>
      <c r="B18" s="448" t="str">
        <f>Material_3</f>
        <v>Cold Rolled Steel</v>
      </c>
      <c r="C18" s="54"/>
      <c r="D18" s="54"/>
      <c r="E18" s="5" t="s">
        <v>270</v>
      </c>
      <c r="F18" s="530">
        <f>(P38*P24/VLOOKUP(model,LookupStrModel,14,FALSE))+S35/2*P24+(((M38*N38)/(9.55*O38))*(1/R38))*P24/2</f>
        <v>2986.9466786975745</v>
      </c>
      <c r="G18" s="530">
        <f>(63025*N58)/N60</f>
        <v>47151.532858898267</v>
      </c>
      <c r="H18" s="2"/>
      <c r="I18" s="769" t="str">
        <f>IF(G18&gt;F18, "PINCH GEAR OK", "PINCH GEAR FAILURE")</f>
        <v>PINCH GEAR OK</v>
      </c>
      <c r="K18" s="2" t="s">
        <v>163</v>
      </c>
      <c r="L18" s="7">
        <f>IF(ABS(L17)&lt;curv_at_yld,(mod*coil_width*thk^3)/(12)*(L17),(ABS(L17)/L17)*1.5*My*(1-1/3*((curv_at_yld/L17)^2)))</f>
        <v>195.04298099500997</v>
      </c>
      <c r="M18" s="7">
        <f>IF(ABS(M17)&lt;curv_at_yld,(mod*coil_width*thk^3)/(12)*(M17),(ABS(M17)/M17)*1.5*My*(1-1/3*((curv_at_yld/M17)^2)))</f>
        <v>-124.66840328553396</v>
      </c>
      <c r="N18" s="7">
        <f>IF(ABS(N17)&lt;curv_at_yld,(mod*coil_width*thk^3)/(12)*(N17),(ABS(N17)/N17)*1.5*My*(1-1/3*((curv_at_yld/N17)^2)))</f>
        <v>138.02764985018001</v>
      </c>
      <c r="O18" s="7">
        <f>IF(ABS(O17)&lt;curv_at_yld,(mod*coil_width*thk^3)/(12)*(O17),(ABS(O17)/O17)*1.5*My*(1-1/3*((curv_at_yld/O17)^2)))</f>
        <v>-67.653072140703998</v>
      </c>
      <c r="P18" s="7">
        <f>IF(ABS(P17)&lt;curv_at_yld,(mod*coil_width*thk^3)/(12)*(P17),(ABS(P17)/P17)*1.5*My*(1-1/3*((curv_at_yld/P17)^2)))</f>
        <v>38.461410066373041</v>
      </c>
      <c r="R18" t="s">
        <v>269</v>
      </c>
      <c r="S18" s="39">
        <f>$R$12</f>
        <v>5.0750000000000002</v>
      </c>
      <c r="T18" s="39">
        <f>$R$12</f>
        <v>5.0750000000000002</v>
      </c>
      <c r="U18" s="39">
        <f>$R$12</f>
        <v>5.0750000000000002</v>
      </c>
      <c r="V18" s="39">
        <f>$R$12</f>
        <v>5.0750000000000002</v>
      </c>
    </row>
    <row r="19" spans="1:23" x14ac:dyDescent="0.25">
      <c r="E19" s="5" t="s">
        <v>268</v>
      </c>
      <c r="F19" s="530">
        <f>(P38*P25/VLOOKUP(model,LookupStrModel,14,FALSE))+(((M38*N38)/(9.55*O38))*(1/R38))*P25/2*7/11</f>
        <v>519.27778962019443</v>
      </c>
      <c r="G19" s="530">
        <f>(63025*O58)/O60</f>
        <v>32949.855488311572</v>
      </c>
      <c r="H19" s="2"/>
      <c r="I19" s="769" t="str">
        <f>IF(G19&gt;F19, "STR GEAR OK", "STR GEAR FAILURE")</f>
        <v>STR GEAR OK</v>
      </c>
      <c r="K19" s="2" t="s">
        <v>267</v>
      </c>
      <c r="L19" s="49">
        <f>L18/My</f>
        <v>0.63687503998370587</v>
      </c>
      <c r="M19" s="49">
        <f>M18/My</f>
        <v>-0.40708050052419242</v>
      </c>
      <c r="N19" s="49">
        <f>N18/My</f>
        <v>0.45070253012303668</v>
      </c>
      <c r="O19" s="49">
        <f>O18/My</f>
        <v>-0.22090799066352321</v>
      </c>
      <c r="P19" s="49">
        <f>P18/My</f>
        <v>0.1255882777677487</v>
      </c>
      <c r="R19" t="s">
        <v>266</v>
      </c>
      <c r="S19" s="39">
        <f>(S18-S16)*(S15/2)</f>
        <v>1.0520606728776212</v>
      </c>
      <c r="T19" s="39">
        <f>(T18-T16)*(T15/2)</f>
        <v>0.50505114934620465</v>
      </c>
      <c r="U19" s="39">
        <f>(U18-U16)*(U15/2)</f>
        <v>2.7285931725295374</v>
      </c>
      <c r="V19" s="39">
        <f>(V18-V16)*(V15/2)</f>
        <v>1.4724547029358162</v>
      </c>
    </row>
    <row r="20" spans="1:23" x14ac:dyDescent="0.25">
      <c r="A20" s="57" t="s">
        <v>260</v>
      </c>
      <c r="B20" s="770">
        <f>'Str. Utility (1)'!HP</f>
        <v>50</v>
      </c>
      <c r="C20" s="54"/>
      <c r="D20" s="54"/>
      <c r="E20" s="990" t="s">
        <v>259</v>
      </c>
      <c r="F20" s="991"/>
      <c r="G20" s="766">
        <f>IF(pro_brake="NO", (S39*N38)/63000, IF(pro_brake="YES", (S38*N38)/63000))</f>
        <v>13.508118484382559</v>
      </c>
      <c r="I20" s="769" t="str">
        <f>IF(HP&gt;G20, "HP SUFFICIENT", "HP INSUFFICIENT")</f>
        <v>HP SUFFICIENT</v>
      </c>
      <c r="K20" s="2" t="s">
        <v>264</v>
      </c>
      <c r="L20" s="49">
        <f>-curv_at_yld*L19</f>
        <v>-6.2746309358000574E-2</v>
      </c>
      <c r="M20" s="49">
        <f>-curv_at_yld*M19</f>
        <v>4.0106453253615011E-2</v>
      </c>
      <c r="N20" s="49">
        <f>-curv_at_yld*N19</f>
        <v>-4.4404190159905085E-2</v>
      </c>
      <c r="O20" s="49">
        <f>-curv_at_yld*O19</f>
        <v>2.1764334055519526E-2</v>
      </c>
      <c r="P20" s="49">
        <f>-curv_at_yld*P19</f>
        <v>-1.2373229336724008E-2</v>
      </c>
      <c r="R20" t="s">
        <v>263</v>
      </c>
      <c r="S20" s="39">
        <f>thk-S19</f>
        <v>-1.0170606728776213</v>
      </c>
      <c r="T20" s="39">
        <f>thk-T19</f>
        <v>-0.47005114934620462</v>
      </c>
      <c r="U20" s="39">
        <f>thk-U19</f>
        <v>-2.6935931725295372</v>
      </c>
      <c r="V20" s="39">
        <f>thk-V19</f>
        <v>-1.4374547029358162</v>
      </c>
    </row>
    <row r="21" spans="1:23" ht="17.25" x14ac:dyDescent="0.25">
      <c r="A21" s="57" t="s">
        <v>262</v>
      </c>
      <c r="B21" s="693">
        <v>1</v>
      </c>
      <c r="C21" s="54"/>
      <c r="D21" s="54"/>
      <c r="F21" s="2"/>
      <c r="G21" s="7"/>
      <c r="K21" s="2" t="s">
        <v>261</v>
      </c>
      <c r="L21" s="7">
        <f>1/((1/L15)+L20)</f>
        <v>-88.339784086020799</v>
      </c>
      <c r="M21" s="7">
        <f>1/((1/M15)+M20)</f>
        <v>-88.339784086020742</v>
      </c>
      <c r="N21" s="7">
        <f>1/((1/N15)+N20)</f>
        <v>-88.339784086020799</v>
      </c>
      <c r="O21" s="7">
        <f>1/((1/O15)+O20)</f>
        <v>-88.339784086020771</v>
      </c>
      <c r="P21" s="7">
        <f>1/((1/P15)+P20)</f>
        <v>-88.339784086020771</v>
      </c>
      <c r="R21" s="43">
        <f>L15</f>
        <v>19.445272535383815</v>
      </c>
      <c r="S21" s="39">
        <f>R21-(SQRT(((R21+(thk/4))^2)-((cent_dist/4)^2)))</f>
        <v>0.12180253625526305</v>
      </c>
      <c r="T21" s="39">
        <f>ABS(S21)*-2</f>
        <v>-0.2436050725105261</v>
      </c>
      <c r="U21" s="39"/>
      <c r="V21" s="39"/>
    </row>
    <row r="22" spans="1:23" x14ac:dyDescent="0.25">
      <c r="A22" s="57" t="s">
        <v>265</v>
      </c>
      <c r="B22" s="770">
        <f>'Str. Utility (1)'!fpm</f>
        <v>120</v>
      </c>
      <c r="C22" s="54"/>
      <c r="D22" s="54"/>
      <c r="F22" s="2"/>
      <c r="G22" s="2"/>
      <c r="I22" s="769" t="str">
        <f>IF(fpm&gt;=ReqMaxFPM_3*FPMBuffer,"FPM SUFFICIENT", "FPM NOT SUFFICIENT")</f>
        <v>FPM SUFFICIENT</v>
      </c>
      <c r="K22" t="s">
        <v>258</v>
      </c>
      <c r="L22" s="7" t="e">
        <f>1/(1-L14)</f>
        <v>#VALUE!</v>
      </c>
      <c r="M22" s="7"/>
      <c r="N22" s="7" t="e">
        <f>1/(1-N14)</f>
        <v>#VALUE!</v>
      </c>
      <c r="O22" s="7"/>
      <c r="P22" s="7" t="e">
        <f>1/(1-P14)</f>
        <v>#VALUE!</v>
      </c>
      <c r="T22" s="39">
        <f>L12/T21</f>
        <v>1.204587041990407</v>
      </c>
    </row>
    <row r="23" spans="1:23" x14ac:dyDescent="0.25">
      <c r="A23" s="57" t="s">
        <v>257</v>
      </c>
      <c r="B23" s="448" t="str">
        <f>'Str. Utility (1)'!pro_brake</f>
        <v>YES</v>
      </c>
      <c r="F23" s="2"/>
      <c r="G23" s="2"/>
      <c r="L23" t="s">
        <v>256</v>
      </c>
      <c r="M23" s="2" t="s">
        <v>255</v>
      </c>
      <c r="N23" t="s">
        <v>226</v>
      </c>
      <c r="O23" t="s">
        <v>225</v>
      </c>
      <c r="P23" t="s">
        <v>224</v>
      </c>
      <c r="Q23" t="s">
        <v>223</v>
      </c>
    </row>
    <row r="24" spans="1:23" x14ac:dyDescent="0.25">
      <c r="C24" s="54"/>
      <c r="D24" s="54"/>
      <c r="E24" s="5" t="s">
        <v>254</v>
      </c>
      <c r="F24" s="530">
        <f>IF(coil_od=72, (((72^2)-(coil_id^2))/4)*PI()*VLOOKUP(material,LookupMaterial,4,FALSE)*coil_width, (((coil_od^2)-(coil_id^2))/4)*PI()*VLOOKUP(material,LookupMaterial,4,FALSE)*coil_width)</f>
        <v>20000.000000000004</v>
      </c>
      <c r="G24" s="2"/>
      <c r="I24" s="27" t="str" cm="1">
        <f t="array" ref="I24">_xlfn.IFS(RollSelection="7 Roll Str. Backbend", Str3_7YieldMet, RollSelection="9 Roll Str. Backbend", Str3_9YieldMet, RollSelection="11 Roll Str. Backbend", Str3_11YieldMet)</f>
        <v>OK</v>
      </c>
      <c r="K24" s="2" t="s">
        <v>253</v>
      </c>
      <c r="L24" s="2">
        <f>str_width+2</f>
        <v>44</v>
      </c>
      <c r="M24" s="2">
        <v>4</v>
      </c>
      <c r="N24" s="13">
        <f>((pinch_dia^2)/4)*PI()*L24*M24*0.283</f>
        <v>1738.8010547320055</v>
      </c>
      <c r="O24" s="49">
        <f>((N24/32.3)*0.5*(((pinch_dia*0.5)^2)/144)*12)</f>
        <v>24.925108060779742</v>
      </c>
      <c r="P24" s="7">
        <f>1750/((fpm*12)/(pinch_dia*PI()))</f>
        <v>25.45399089416355</v>
      </c>
      <c r="Q24" s="49">
        <f>O24/(P24^2)</f>
        <v>3.8470274131590119E-2</v>
      </c>
    </row>
    <row r="25" spans="1:23" x14ac:dyDescent="0.25">
      <c r="A25" s="5" t="s">
        <v>252</v>
      </c>
      <c r="B25" s="766">
        <f>VLOOKUP(model, LookupStrModel, 2,FALSE)</f>
        <v>5</v>
      </c>
      <c r="C25" s="54"/>
      <c r="D25" s="54"/>
      <c r="E25" s="5" t="s">
        <v>251</v>
      </c>
      <c r="F25" s="771">
        <f>MIN(V31:W31)</f>
        <v>58.304257496773673</v>
      </c>
      <c r="I25" s="27" t="str">
        <f>IFERROR(IF(AND(jack_force&gt;F14,G18&gt;F18,G19&gt;F19,HP&gt;G20, fpm&gt;=ReqMaxFPM_3*FPMBuffer,I24="OK"), "OK", "NOT OK"), "NOT OK")</f>
        <v>OK</v>
      </c>
      <c r="K25" s="2" t="s">
        <v>189</v>
      </c>
      <c r="L25" s="2">
        <f>str_width+2</f>
        <v>44</v>
      </c>
      <c r="M25" s="2">
        <f>B11</f>
        <v>7</v>
      </c>
      <c r="N25" s="13">
        <f>((str_dia^2)/4)*PI()*L25*M25*0.283</f>
        <v>1711.4611378593795</v>
      </c>
      <c r="O25" s="49">
        <f>((N25/32.3)*0.5*(((str_dia*0.5)^2)/144)*12)</f>
        <v>13.798545035630962</v>
      </c>
      <c r="P25" s="7">
        <f>1750/((fpm*12)/(str_dia*PI()))</f>
        <v>19.089538693687981</v>
      </c>
      <c r="Q25" s="49">
        <f>O25/(P25^2)</f>
        <v>3.7865389464674083E-2</v>
      </c>
    </row>
    <row r="26" spans="1:23" x14ac:dyDescent="0.25">
      <c r="A26" s="5" t="s">
        <v>250</v>
      </c>
      <c r="B26" s="766">
        <f>VLOOKUP(model, LookupStrModel, 4,FALSE)</f>
        <v>6.6669999999999998</v>
      </c>
      <c r="C26" s="54"/>
      <c r="D26" s="54"/>
    </row>
    <row r="27" spans="1:23" x14ac:dyDescent="0.25">
      <c r="A27" s="5" t="s">
        <v>249</v>
      </c>
      <c r="B27" s="766">
        <f>VLOOKUP(model, LookupStrModel, 3,FALSE)</f>
        <v>9</v>
      </c>
      <c r="C27" s="54"/>
      <c r="D27" s="54"/>
      <c r="E27" s="5" t="s">
        <v>248</v>
      </c>
      <c r="F27" s="771">
        <f>str_tq</f>
        <v>14.681133689839575</v>
      </c>
      <c r="K27" s="2" t="s">
        <v>247</v>
      </c>
      <c r="L27" t="s">
        <v>246</v>
      </c>
      <c r="O27" t="s">
        <v>245</v>
      </c>
      <c r="P27" t="s">
        <v>244</v>
      </c>
    </row>
    <row r="28" spans="1:23" x14ac:dyDescent="0.25">
      <c r="A28" s="5" t="s">
        <v>243</v>
      </c>
      <c r="B28" s="530">
        <f>VLOOKUP(model, LookupStrModel, 5,FALSE)</f>
        <v>60000</v>
      </c>
      <c r="C28" s="54"/>
      <c r="D28" s="54"/>
      <c r="E28" s="5" t="s">
        <v>242</v>
      </c>
      <c r="F28" s="771">
        <f>IF(pro_brake="YES", $Q$38, IF(pro_brake="NO", $Q$39))</f>
        <v>417.55322168686956</v>
      </c>
      <c r="K28" s="2">
        <f>IF(M25&lt;7, (M25/3.5)+0.1, IF(M25&lt;9, M25/3.5, IF(M25&lt;11,(M25/3.5)-0.1,3)))</f>
        <v>2</v>
      </c>
      <c r="L28" s="56">
        <f>(16/15)*((yield*coil_width*thk*thk)/cent_dist)</f>
        <v>217.77777777777783</v>
      </c>
      <c r="P28">
        <f>(S38*N38)/63000</f>
        <v>13.508118484382559</v>
      </c>
      <c r="U28" t="s">
        <v>241</v>
      </c>
    </row>
    <row r="29" spans="1:23" x14ac:dyDescent="0.25">
      <c r="A29" s="5" t="s">
        <v>240</v>
      </c>
      <c r="B29" s="569">
        <f>VLOOKUP(model, LookupStrModel, 6,FALSE)</f>
        <v>-1.25</v>
      </c>
      <c r="C29" s="54"/>
      <c r="E29" s="5" t="s">
        <v>239</v>
      </c>
      <c r="F29" s="771">
        <f>IF(pro_brake="YES", $S$34, IF(pro_brake="NO", $S$35))</f>
        <v>54.057910061063019</v>
      </c>
      <c r="G29" t="s">
        <v>79</v>
      </c>
      <c r="V29" t="s">
        <v>238</v>
      </c>
      <c r="W29" t="s">
        <v>237</v>
      </c>
    </row>
    <row r="30" spans="1:23" x14ac:dyDescent="0.25">
      <c r="A30" s="5" t="s">
        <v>236</v>
      </c>
      <c r="B30" s="530">
        <f>VLOOKUP(B18, LookupMaterial, 3)</f>
        <v>29000000</v>
      </c>
      <c r="L30" t="s">
        <v>235</v>
      </c>
      <c r="N30" t="s">
        <v>226</v>
      </c>
      <c r="O30" t="s">
        <v>225</v>
      </c>
      <c r="P30" t="s">
        <v>224</v>
      </c>
      <c r="Q30" t="s">
        <v>223</v>
      </c>
      <c r="U30" t="s">
        <v>234</v>
      </c>
      <c r="V30" s="41">
        <f>(((coil_od^2)-(coil_id^2))/4)*PI()*VLOOKUP(material,LookupMaterial,4,FALSE)*coil_width</f>
        <v>20000.000000000004</v>
      </c>
      <c r="W30" s="41">
        <f>((($W$31^2)-(coil_id^2))/4)*PI()*VLOOKUP(material,LookupMaterial,4,FALSE)*coil_width</f>
        <v>31899.857468256901</v>
      </c>
    </row>
    <row r="31" spans="1:23" x14ac:dyDescent="0.25">
      <c r="L31" s="2">
        <v>96</v>
      </c>
      <c r="N31" s="13">
        <f>thk*coil_width*VLOOKUP(material,LookupMaterial,4,FALSE)*L31</f>
        <v>28.526399999999995</v>
      </c>
      <c r="O31" s="49">
        <f>((N31/32.3)*(((pinch_dia*0.5)^2)/144)*12)</f>
        <v>0.81783203506811142</v>
      </c>
      <c r="P31" s="7">
        <f>P24</f>
        <v>25.45399089416355</v>
      </c>
      <c r="Q31" s="49">
        <f>O31/(P31^2)</f>
        <v>1.2622702580043388E-3</v>
      </c>
      <c r="U31" t="s">
        <v>233</v>
      </c>
      <c r="V31" s="41">
        <f>SQRT((coil_id^2)+((4*Coil_weight)/(PI()*VLOOKUP(material,LookupMaterial,4,FALSE)*coil_width)))</f>
        <v>58.304257496773673</v>
      </c>
      <c r="W31" s="41">
        <v>72</v>
      </c>
    </row>
    <row r="32" spans="1:23" ht="14.25" customHeight="1" x14ac:dyDescent="0.25">
      <c r="A32" s="52" t="s">
        <v>232</v>
      </c>
      <c r="B32" s="50" t="s">
        <v>231</v>
      </c>
      <c r="C32" s="50" t="s">
        <v>230</v>
      </c>
    </row>
    <row r="33" spans="1:19" ht="14.25" customHeight="1" x14ac:dyDescent="0.25">
      <c r="A33" s="5" t="s">
        <v>229</v>
      </c>
      <c r="B33" s="448">
        <f>VLOOKUP(model,LookupStrModel,9,FALSE)</f>
        <v>24</v>
      </c>
      <c r="C33" s="448">
        <f>VLOOKUP(model,LookupStrModel,10,FALSE)</f>
        <v>4</v>
      </c>
      <c r="L33" t="s">
        <v>228</v>
      </c>
      <c r="M33" s="2" t="s">
        <v>227</v>
      </c>
      <c r="N33" t="s">
        <v>226</v>
      </c>
      <c r="O33" t="s">
        <v>225</v>
      </c>
      <c r="P33" t="s">
        <v>224</v>
      </c>
      <c r="Q33" t="s">
        <v>223</v>
      </c>
      <c r="S33" t="s">
        <v>222</v>
      </c>
    </row>
    <row r="34" spans="1:19" ht="14.25" customHeight="1" x14ac:dyDescent="0.25">
      <c r="A34" s="5" t="s">
        <v>221</v>
      </c>
      <c r="B34" s="448">
        <f>VLOOKUP(model,LookupStrModel,11,FALSE)</f>
        <v>18</v>
      </c>
      <c r="C34" s="448">
        <f>VLOOKUP(model,LookupStrModel,12,FALSE)</f>
        <v>4</v>
      </c>
      <c r="L34" t="s">
        <v>212</v>
      </c>
      <c r="M34" s="13">
        <f>((((((coil_od^2)/4)*PI()*coil_width*VLOOKUP(material,LookupMaterial,4,FALSE))/32.3*0.5*(((coil_od*0.5)^2)/144))*12)*((fpm*12)/(coil_od*PI())))/(9.55*O38)</f>
        <v>10228.309839965556</v>
      </c>
      <c r="N34" s="13">
        <f>(((coil_od^2)-(coil_id^2))/4)*PI()*VLOOKUP(material,LookupMaterial,4,FALSE)*coil_width</f>
        <v>20000.000000000004</v>
      </c>
      <c r="O34" s="13">
        <f>(((((coil_od^2)*PI())/4*VLOOKUP(material,LookupMaterial,4,FALSE)*coil_width)/32.3)*0.5*(((coil_od*0.5)^2)/144))*12</f>
        <v>24849.914122213908</v>
      </c>
      <c r="P34" s="13">
        <f>(coil_od/pinch_dia)*P24</f>
        <v>222.60027589828167</v>
      </c>
      <c r="Q34" s="49">
        <f>(O34/(P34^2))</f>
        <v>0.50150295419506175</v>
      </c>
      <c r="S34" s="13">
        <f>(M34/((coil_od/pinch_dia)*P24))/R38</f>
        <v>54.057910061063019</v>
      </c>
    </row>
    <row r="35" spans="1:19" ht="14.25" customHeight="1" x14ac:dyDescent="0.25">
      <c r="A35" s="5" t="s">
        <v>220</v>
      </c>
      <c r="B35" s="448">
        <f>VLOOKUP(model,LookupStrModel,13,FALSE)</f>
        <v>4</v>
      </c>
      <c r="C35" s="51"/>
      <c r="L35" t="s">
        <v>211</v>
      </c>
      <c r="N35" s="2"/>
      <c r="O35" s="13">
        <f>(((((coil_id^2)*PI())/4*VLOOKUP(material,LookupMaterial,4,FALSE)*coil_width)/32.3)*0.5*(((coil_id*0.5)^2)/144))*12</f>
        <v>344.06761647287595</v>
      </c>
      <c r="P35" s="13">
        <f>(coil_id/pinch_dia)*P24</f>
        <v>76.358154774751924</v>
      </c>
      <c r="Q35" s="49">
        <f>(O35/(P35^2))</f>
        <v>5.9010996568323253E-2</v>
      </c>
      <c r="S35" s="13">
        <f>(M34/((coil_id/pinch_dia)*P24))/R38</f>
        <v>157.59031539688249</v>
      </c>
    </row>
    <row r="36" spans="1:19" ht="14.25" customHeight="1" x14ac:dyDescent="0.25">
      <c r="A36" s="5" t="s">
        <v>219</v>
      </c>
      <c r="B36" s="448">
        <v>20</v>
      </c>
      <c r="C36" s="15"/>
    </row>
    <row r="37" spans="1:19" ht="14.25" customHeight="1" x14ac:dyDescent="0.25">
      <c r="G37" t="s">
        <v>79</v>
      </c>
      <c r="M37" s="2">
        <v>0.32</v>
      </c>
      <c r="N37" t="s">
        <v>218</v>
      </c>
      <c r="O37" t="s">
        <v>217</v>
      </c>
      <c r="P37" t="s">
        <v>216</v>
      </c>
      <c r="Q37" t="s">
        <v>215</v>
      </c>
      <c r="R37" t="s">
        <v>214</v>
      </c>
      <c r="S37" t="s">
        <v>213</v>
      </c>
    </row>
    <row r="38" spans="1:19" x14ac:dyDescent="0.25">
      <c r="L38" t="s">
        <v>212</v>
      </c>
      <c r="M38" s="49">
        <f>SUM(Q24:Q34)</f>
        <v>0.57910088804933024</v>
      </c>
      <c r="N38" s="2">
        <v>1750</v>
      </c>
      <c r="O38" s="7">
        <f>(fpm/60)/accel</f>
        <v>2</v>
      </c>
      <c r="P38" s="7">
        <f>(((((((0.667*yield*coil_width*(thk^2))/cent_dist)*0.35*fpm*K28)/33000)*5250)/N38)*12)/R38</f>
        <v>14.681133689839575</v>
      </c>
      <c r="Q38" s="13">
        <f>(((M38*N38)/(9.55*O38))*(1/R38))+((M41*N38)/(9.55*O38))</f>
        <v>417.55322168686956</v>
      </c>
      <c r="R38" s="2">
        <v>0.85</v>
      </c>
      <c r="S38" s="41">
        <f>S34+P38+Q38</f>
        <v>486.29226543777213</v>
      </c>
    </row>
    <row r="39" spans="1:19" x14ac:dyDescent="0.25">
      <c r="L39" t="s">
        <v>211</v>
      </c>
      <c r="M39" s="49">
        <f>SUM(Q24:Q32)+Q35</f>
        <v>0.13660893042259178</v>
      </c>
      <c r="N39" s="2"/>
      <c r="O39" s="2"/>
      <c r="P39" s="2"/>
      <c r="Q39" s="13">
        <f>(((M39*N38)/(9.55*O38))*(1/R38))+((M41*N38)/(9.55*O38))</f>
        <v>369.85621362731968</v>
      </c>
      <c r="R39" s="2"/>
      <c r="S39" s="41">
        <f>S35+P38+Q39</f>
        <v>542.12766271404178</v>
      </c>
    </row>
    <row r="40" spans="1:19" x14ac:dyDescent="0.25">
      <c r="M40" s="2" t="s">
        <v>210</v>
      </c>
    </row>
    <row r="41" spans="1:19" x14ac:dyDescent="0.25">
      <c r="M41" s="30">
        <f>'Str. Utility (1)'!$M$41</f>
        <v>3.8759999999999999</v>
      </c>
    </row>
    <row r="47" spans="1:19" x14ac:dyDescent="0.25">
      <c r="L47" t="s">
        <v>209</v>
      </c>
      <c r="R47" t="s">
        <v>208</v>
      </c>
    </row>
    <row r="48" spans="1:19" x14ac:dyDescent="0.25">
      <c r="L48" t="s">
        <v>207</v>
      </c>
      <c r="N48">
        <f>IF(model="SPGPS-810", 165100, IF(model="CPPS-306", 165100, IF(model="CPPS-406", 165100, IF(model="CPPS-507", 165100, 128000))))</f>
        <v>165100</v>
      </c>
    </row>
    <row r="49" spans="1:22" hidden="1" x14ac:dyDescent="0.25">
      <c r="L49" t="s">
        <v>206</v>
      </c>
      <c r="N49">
        <f>$N$48/3</f>
        <v>55033.333333333336</v>
      </c>
      <c r="Q49" t="s">
        <v>205</v>
      </c>
      <c r="S49" s="43">
        <f>B36*(PI()/180)</f>
        <v>0.3490658503988659</v>
      </c>
      <c r="U49" t="s">
        <v>204</v>
      </c>
      <c r="V49" s="44">
        <f>-1*(5/384*V50*((str_width+1.75)^3)/mod/V52)</f>
        <v>-2.9793355656766344E-4</v>
      </c>
    </row>
    <row r="50" spans="1:22" hidden="1" x14ac:dyDescent="0.25">
      <c r="L50" t="s">
        <v>203</v>
      </c>
      <c r="N50">
        <f>N60</f>
        <v>68.751497840806749</v>
      </c>
      <c r="O50" s="43">
        <f>O60</f>
        <v>91.673247220931714</v>
      </c>
      <c r="Q50" t="s">
        <v>202</v>
      </c>
      <c r="S50" s="41">
        <f>P38/COS(S49)</f>
        <v>15.623336147474546</v>
      </c>
      <c r="U50" t="s">
        <v>201</v>
      </c>
      <c r="V50" s="44">
        <f>((str_dia/2)^2)*PI()*(str_width+1.75)*0.283</f>
        <v>243.10527526411641</v>
      </c>
    </row>
    <row r="51" spans="1:22" hidden="1" x14ac:dyDescent="0.25">
      <c r="B51"/>
      <c r="C51" s="5" t="s">
        <v>200</v>
      </c>
      <c r="L51" t="s">
        <v>199</v>
      </c>
      <c r="N51">
        <f>IF(B33=12, 0.245, IF(B33=13, 0.261, IF(B33=14, 0.277, IF(B33=15, 0.29, IF(B33=16, 0.296, IF(B33=17, 0.302, IF(B33=18, 0.314, IF(B33=19, 0.314, IF(B33=20, 0.321, IF(B33=21, 0.327, IF(B33=22, 0.33, IF(B33=24, 0.337, IF(B33=25, 0.341, IF(B33=26, 0.346, IF(B33=27, 0.348, IF(B33=28, 0.352, IF(B33=30, 0.359,IF(B33=31, 0.362, IF(B33=32, 0.365, IF(B33=34, 0.37,))))))))))))))))))))</f>
        <v>0.33700000000000002</v>
      </c>
      <c r="O51">
        <f>IF(B34=12, 0.245, IF(B34=13, 0.261, IF(B34=14, 0.277, IF(B34=15, 0.29, IF(B34=16, 0.296, IF(B34=17, 0.302, IF(B34=18, 0.314, IF(B34=19, 0.314, IF(B34=20, 0.321, IF(B34=21, 0.327, IF(B34=22, 0.33, IF(B34=24, 0.337, IF(B34=25, 0.0341, IF(B34=26, 0.346, IF(B34=27, 0.348, IF(B34=28, 0.352, IF(B34=30, 0.359, IF(B34=31, 0.362, IF(B34=32, 0.365, IF(B34=34, 0.37,))))))))))))))))))))</f>
        <v>0.314</v>
      </c>
      <c r="Q51" t="s">
        <v>198</v>
      </c>
      <c r="S51" s="41">
        <f>S50+L13</f>
        <v>131.19713810818433</v>
      </c>
      <c r="U51" t="s">
        <v>197</v>
      </c>
      <c r="V51" s="44">
        <f>PI()*(str_dia^3)/32</f>
        <v>12.271846303085129</v>
      </c>
    </row>
    <row r="52" spans="1:22" hidden="1" x14ac:dyDescent="0.25">
      <c r="B52" s="5" t="s">
        <v>196</v>
      </c>
      <c r="C52" s="48">
        <f>IF(str_width=coil_width, V58, V58*0.85)</f>
        <v>3.9320200602727253E-4</v>
      </c>
      <c r="D52" s="39"/>
      <c r="F52" s="47" t="str">
        <f>IF(OR(C52&gt;(thk*0.05),C53&gt;=32000), "NEED BACKUPS", "NO BACKUPS REQ.")</f>
        <v>NO BACKUPS REQ.</v>
      </c>
      <c r="H52" s="33"/>
      <c r="I52" s="46"/>
      <c r="J52" s="33"/>
      <c r="Q52" t="s">
        <v>179</v>
      </c>
      <c r="S52" s="39">
        <f>(PI()*((str_dia/2)^4))/4</f>
        <v>30.679615757712824</v>
      </c>
      <c r="U52" t="s">
        <v>193</v>
      </c>
      <c r="V52" s="44">
        <f>PI()*(str_dia^4)/64</f>
        <v>30.679615757712824</v>
      </c>
    </row>
    <row r="53" spans="1:22" hidden="1" x14ac:dyDescent="0.25">
      <c r="B53" s="5" t="s">
        <v>192</v>
      </c>
      <c r="C53" s="45">
        <f>ABS(S59/S53)*1.25</f>
        <v>61.627815028739185</v>
      </c>
      <c r="H53" s="33"/>
      <c r="I53" s="33"/>
      <c r="J53" s="33"/>
      <c r="N53" t="s">
        <v>190</v>
      </c>
      <c r="O53" t="s">
        <v>189</v>
      </c>
      <c r="Q53" t="s">
        <v>188</v>
      </c>
      <c r="S53" s="39">
        <f>S52/(S56)</f>
        <v>12.27184630308513</v>
      </c>
      <c r="U53" t="s">
        <v>187</v>
      </c>
      <c r="V53" s="44">
        <f>((str_width+1.75)-coil_width)/2</f>
        <v>6.875</v>
      </c>
    </row>
    <row r="54" spans="1:22" hidden="1" x14ac:dyDescent="0.25">
      <c r="H54" s="33"/>
      <c r="I54" s="33"/>
      <c r="J54" s="33"/>
      <c r="L54" t="s">
        <v>185</v>
      </c>
      <c r="N54">
        <f>B33/C33</f>
        <v>6</v>
      </c>
      <c r="O54">
        <f>B34/C34</f>
        <v>4.5</v>
      </c>
      <c r="Q54" t="s">
        <v>184</v>
      </c>
      <c r="S54">
        <f>str_width+1.75</f>
        <v>43.75</v>
      </c>
      <c r="U54" t="s">
        <v>183</v>
      </c>
      <c r="V54" s="44">
        <f>F14/2*2</f>
        <v>259.15555555555557</v>
      </c>
    </row>
    <row r="55" spans="1:22" hidden="1" x14ac:dyDescent="0.25">
      <c r="H55" s="33"/>
      <c r="I55" s="33"/>
      <c r="J55" s="33"/>
      <c r="L55" t="s">
        <v>181</v>
      </c>
      <c r="Q55" t="s">
        <v>180</v>
      </c>
      <c r="S55">
        <f>((str_width+1.75)-coil_width)/2</f>
        <v>6.875</v>
      </c>
      <c r="U55" t="s">
        <v>179</v>
      </c>
      <c r="V55" s="44">
        <f>(coil_width*(thk^3)/12)</f>
        <v>1.0718750000000002E-4</v>
      </c>
    </row>
    <row r="56" spans="1:22" hidden="1" x14ac:dyDescent="0.25">
      <c r="H56" s="33"/>
      <c r="I56" s="33"/>
      <c r="J56" s="33"/>
      <c r="L56" t="s">
        <v>178</v>
      </c>
      <c r="N56">
        <f>(N49*B35*N51*600)/(C33*(600+N57))</f>
        <v>15717.266764120166</v>
      </c>
      <c r="O56">
        <f>(N49*B35*O51*600)/(C34*(600+O57))</f>
        <v>14644.463276836159</v>
      </c>
      <c r="Q56" t="s">
        <v>177</v>
      </c>
      <c r="S56">
        <f>str_dia/2</f>
        <v>2.5</v>
      </c>
      <c r="U56" t="s">
        <v>176</v>
      </c>
      <c r="V56" s="44">
        <f>V55/(thk/2)</f>
        <v>6.1250000000000011E-3</v>
      </c>
    </row>
    <row r="57" spans="1:22" hidden="1" x14ac:dyDescent="0.25">
      <c r="H57" s="33"/>
      <c r="I57" s="33"/>
      <c r="J57" s="33"/>
      <c r="L57" t="s">
        <v>175</v>
      </c>
      <c r="N57" s="43">
        <f>(PI()*N54*$N$50)/12</f>
        <v>107.99460026998651</v>
      </c>
      <c r="O57" s="43">
        <f>(PI()*O54*O50)/12</f>
        <v>108</v>
      </c>
      <c r="Q57" t="s">
        <v>174</v>
      </c>
      <c r="S57">
        <f>S54-S55</f>
        <v>36.875</v>
      </c>
    </row>
    <row r="58" spans="1:22" hidden="1" x14ac:dyDescent="0.25">
      <c r="H58" s="33"/>
      <c r="I58" s="33"/>
      <c r="J58" s="33"/>
      <c r="L58" t="s">
        <v>172</v>
      </c>
      <c r="N58">
        <f>(N56*N57)/33000</f>
        <v>51.435755803875807</v>
      </c>
      <c r="O58">
        <f>(O56*O57)/33000</f>
        <v>47.927334360554703</v>
      </c>
      <c r="Q58" t="s">
        <v>171</v>
      </c>
      <c r="S58" s="43">
        <f>(S51/(coil_width*((str_width+1.75)^2)))*(((1/(2*(str_width+1.75))*((S55^4)-(((str_width+1.75)-S55)^4)))-(S55^3)+(((str_width+1.75)-S55)^3)))</f>
        <v>65.598569054092167</v>
      </c>
      <c r="U58" t="s">
        <v>170</v>
      </c>
      <c r="V58" s="39">
        <f>ABS(V63-V62)</f>
        <v>4.6259059532620297E-4</v>
      </c>
    </row>
    <row r="59" spans="1:22" hidden="1" x14ac:dyDescent="0.25">
      <c r="A59" t="s">
        <v>169</v>
      </c>
      <c r="B59" s="599">
        <f>VLOOKUP(model,LookupStrModel,7,FALSE)</f>
        <v>0.18</v>
      </c>
      <c r="E59" t="s">
        <v>138</v>
      </c>
      <c r="Q59" t="s">
        <v>168</v>
      </c>
      <c r="S59" s="43">
        <f>(S51/(2*coil_width*S54))*(((S55^4-S57^4)/(2*S54))-(2/3*S55^3)+(2/3*S57^3))</f>
        <v>605.02965922211774</v>
      </c>
      <c r="U59" t="s">
        <v>167</v>
      </c>
      <c r="V59" s="39">
        <f>-1*(V54*V53/(24*mod*V52)*((3*((str_width+1.75)^2))-(4*(V53^2))))+V49</f>
        <v>-7.6128606622363662E-4</v>
      </c>
    </row>
    <row r="60" spans="1:22" hidden="1" x14ac:dyDescent="0.25">
      <c r="A60" t="s">
        <v>166</v>
      </c>
      <c r="B60" s="4">
        <f>VLOOKUP(model,LookupStrModel, 8, FALSE)</f>
        <v>0.18</v>
      </c>
      <c r="E60" s="34">
        <v>0.33</v>
      </c>
      <c r="L60" s="992" t="s">
        <v>165</v>
      </c>
      <c r="M60" s="992"/>
      <c r="N60">
        <f>(fpm*12)/(PI()*pinch_dia)</f>
        <v>68.751497840806749</v>
      </c>
      <c r="O60">
        <f>(fpm*12)/(PI()*str_dia)</f>
        <v>91.673247220931714</v>
      </c>
      <c r="U60" t="s">
        <v>164</v>
      </c>
      <c r="V60" s="39">
        <f>-1*(V54*(V53^2)/6/mod/V52*(3*(str_width+1.75)-4*V53)+(V49*V53/(str_width+1.75)/2))</f>
        <v>-2.1465556135540789E-4</v>
      </c>
    </row>
    <row r="61" spans="1:22" hidden="1" x14ac:dyDescent="0.25">
      <c r="Q61" t="s">
        <v>163</v>
      </c>
      <c r="R61">
        <f>(S55*S58)-S59</f>
        <v>-154.0394969752341</v>
      </c>
      <c r="U61" t="s">
        <v>162</v>
      </c>
      <c r="V61" s="39">
        <f>(V54*(V53^2)/6/mod/V52*(2*V53+(3*V53)))+(V49*V53/(str_width+0.73)/2)</f>
        <v>5.4908975422328084E-5</v>
      </c>
    </row>
    <row r="62" spans="1:22" x14ac:dyDescent="0.25">
      <c r="U62" t="s">
        <v>161</v>
      </c>
      <c r="V62" s="39">
        <f>V54*V53*(V53^2)/(8*mod*V52)+(2*V53/(str_width+0.73)*V49)</f>
        <v>-8.403990954202572E-5</v>
      </c>
    </row>
    <row r="63" spans="1:22" x14ac:dyDescent="0.25">
      <c r="A63" s="33"/>
      <c r="B63" s="42"/>
      <c r="C63" s="33"/>
      <c r="D63" s="33"/>
      <c r="E63" s="33"/>
      <c r="F63" s="33"/>
      <c r="G63" s="33"/>
      <c r="H63" s="33"/>
      <c r="I63" s="33"/>
      <c r="Q63" t="s">
        <v>152</v>
      </c>
      <c r="S63" s="40">
        <f>ABS(((S55^2)/(6*mod*S52))*((S58*S55)-(3*S59)))</f>
        <v>1.207791788051343E-5</v>
      </c>
      <c r="U63" t="s">
        <v>151</v>
      </c>
      <c r="V63" s="39">
        <f>V59-V60</f>
        <v>-5.466305048682287E-4</v>
      </c>
    </row>
    <row r="64" spans="1:22" x14ac:dyDescent="0.25">
      <c r="A64" s="33"/>
      <c r="B64" s="37"/>
      <c r="C64" s="36"/>
      <c r="D64" s="33"/>
      <c r="E64" s="33"/>
      <c r="F64" s="33"/>
      <c r="G64" s="36"/>
      <c r="H64" s="36"/>
      <c r="J64" s="41"/>
      <c r="S64" s="40"/>
      <c r="V64" s="39"/>
    </row>
    <row r="65" spans="1:22" x14ac:dyDescent="0.25">
      <c r="A65" s="33"/>
      <c r="B65" s="37"/>
      <c r="C65" s="36"/>
      <c r="D65" s="33"/>
      <c r="E65" s="33"/>
      <c r="F65" s="33"/>
      <c r="G65" s="36"/>
      <c r="H65" s="36"/>
      <c r="J65" s="41"/>
      <c r="S65" s="40"/>
      <c r="V65" s="39"/>
    </row>
    <row r="66" spans="1:22" x14ac:dyDescent="0.25">
      <c r="A66" s="33"/>
      <c r="B66" s="37"/>
      <c r="C66" s="36"/>
      <c r="D66" s="33"/>
      <c r="E66" s="33"/>
      <c r="F66" s="33"/>
      <c r="G66" s="36"/>
      <c r="H66" s="36"/>
      <c r="J66" s="41"/>
      <c r="S66" s="40"/>
      <c r="V66" s="39"/>
    </row>
    <row r="67" spans="1:22" x14ac:dyDescent="0.25">
      <c r="A67" s="35"/>
      <c r="B67" s="37"/>
      <c r="C67" s="36"/>
      <c r="D67" s="36"/>
      <c r="E67" s="33"/>
      <c r="F67" s="36"/>
      <c r="G67" s="36"/>
      <c r="H67" s="36"/>
      <c r="J67" s="38"/>
    </row>
    <row r="68" spans="1:22" x14ac:dyDescent="0.25">
      <c r="A68" s="35"/>
      <c r="B68" s="37"/>
      <c r="C68" s="36"/>
      <c r="D68" s="36"/>
      <c r="E68" s="33"/>
      <c r="F68" s="36"/>
      <c r="G68" s="36"/>
      <c r="H68" s="36"/>
      <c r="J68" s="38"/>
    </row>
    <row r="69" spans="1:22" x14ac:dyDescent="0.25">
      <c r="A69" s="35"/>
      <c r="B69" s="37"/>
      <c r="C69" s="36"/>
      <c r="D69" s="36"/>
      <c r="E69" s="33"/>
      <c r="F69" s="36"/>
      <c r="G69" s="36"/>
      <c r="H69" s="36"/>
      <c r="J69" s="38"/>
      <c r="Q69" t="s">
        <v>144</v>
      </c>
      <c r="S69">
        <f>S59/S53*1.2</f>
        <v>59.162702427589615</v>
      </c>
      <c r="V69">
        <f>IF(str_width=coil_width, ((F14*((str_width+1.25)^3))/(384*mod*V52)), V58)</f>
        <v>4.6259059532620297E-4</v>
      </c>
    </row>
    <row r="70" spans="1:22" x14ac:dyDescent="0.25">
      <c r="A70" s="35"/>
      <c r="B70" s="37"/>
      <c r="C70" s="36"/>
      <c r="D70" s="36"/>
      <c r="E70" s="33"/>
      <c r="F70" s="36"/>
      <c r="G70" s="36"/>
      <c r="H70" s="36"/>
      <c r="J70" s="38"/>
    </row>
    <row r="71" spans="1:22" x14ac:dyDescent="0.25">
      <c r="A71" s="35"/>
      <c r="B71" s="37"/>
      <c r="C71" s="36"/>
      <c r="D71" s="36"/>
      <c r="E71" s="33"/>
      <c r="F71" s="36"/>
      <c r="G71" s="36"/>
      <c r="H71" s="36"/>
      <c r="J71" s="38"/>
    </row>
    <row r="72" spans="1:22" x14ac:dyDescent="0.25">
      <c r="A72" s="35"/>
      <c r="B72" s="37"/>
      <c r="C72" s="36"/>
      <c r="D72" s="36"/>
      <c r="E72" s="33"/>
      <c r="F72" s="36"/>
      <c r="G72" s="36"/>
      <c r="H72" s="36"/>
      <c r="J72" s="38"/>
    </row>
    <row r="73" spans="1:22" x14ac:dyDescent="0.25">
      <c r="A73" s="35"/>
      <c r="B73" s="37"/>
      <c r="C73" s="36"/>
      <c r="D73" s="36"/>
      <c r="E73" s="33"/>
      <c r="F73" s="36"/>
      <c r="G73" s="36"/>
      <c r="H73" s="36"/>
      <c r="J73" s="38"/>
    </row>
    <row r="74" spans="1:22" x14ac:dyDescent="0.25">
      <c r="A74" s="35"/>
      <c r="B74" s="37"/>
      <c r="C74" s="36"/>
      <c r="D74" s="36"/>
      <c r="E74" s="33"/>
      <c r="F74" s="36"/>
      <c r="G74" s="36"/>
      <c r="H74" s="36"/>
      <c r="I74" s="33"/>
    </row>
    <row r="75" spans="1:22" x14ac:dyDescent="0.25">
      <c r="A75" s="35"/>
      <c r="B75" s="37"/>
      <c r="C75" s="36"/>
      <c r="D75" s="36"/>
      <c r="E75" s="33"/>
      <c r="F75" s="36"/>
      <c r="G75" s="33"/>
      <c r="H75" s="33"/>
    </row>
    <row r="76" spans="1:22" x14ac:dyDescent="0.25">
      <c r="A76" s="35"/>
    </row>
    <row r="77" spans="1:22" x14ac:dyDescent="0.25">
      <c r="G77" s="33"/>
      <c r="H77" s="33"/>
    </row>
    <row r="88" spans="2:4" x14ac:dyDescent="0.25">
      <c r="B88"/>
    </row>
    <row r="89" spans="2:4" x14ac:dyDescent="0.25">
      <c r="B89" s="33"/>
    </row>
    <row r="90" spans="2:4" x14ac:dyDescent="0.25">
      <c r="B90" s="33"/>
      <c r="C90" s="33"/>
    </row>
    <row r="91" spans="2:4" x14ac:dyDescent="0.25">
      <c r="B91" s="33"/>
      <c r="C91" s="33"/>
      <c r="D91" s="33"/>
    </row>
    <row r="92" spans="2:4" x14ac:dyDescent="0.25">
      <c r="B92" s="33"/>
      <c r="C92" s="33"/>
      <c r="D92" s="33"/>
    </row>
    <row r="93" spans="2:4" x14ac:dyDescent="0.25">
      <c r="B93" s="33"/>
      <c r="C93" s="33"/>
      <c r="D93" s="33"/>
    </row>
    <row r="94" spans="2:4" x14ac:dyDescent="0.25">
      <c r="B94" s="33"/>
      <c r="C94" s="33"/>
      <c r="D94" s="33"/>
    </row>
  </sheetData>
  <sheetProtection algorithmName="SHA-512" hashValue="7SkKhcP1vRavFI+glJBUQvt0yalZvEXvvkbNdkhS3r1ku6ich+Lqh+Awq8KOWrmztFORjRDSlLKFI/exPmCqwQ==" saltValue="nz/QDINdxia9YcLWHIQnZw==" spinCount="100000" sheet="1" objects="1" scenarios="1"/>
  <mergeCells count="6">
    <mergeCell ref="B4:F4"/>
    <mergeCell ref="B5:F5"/>
    <mergeCell ref="B6:F6"/>
    <mergeCell ref="E20:F20"/>
    <mergeCell ref="L60:M60"/>
    <mergeCell ref="B9:C9"/>
  </mergeCells>
  <conditionalFormatting sqref="B15">
    <cfRule type="cellIs" dxfId="197" priority="22" operator="greaterThan">
      <formula>$B$10</formula>
    </cfRule>
  </conditionalFormatting>
  <conditionalFormatting sqref="C52">
    <cfRule type="cellIs" dxfId="196" priority="20" operator="lessThanOrEqual">
      <formula>$B$16*0.05</formula>
    </cfRule>
    <cfRule type="cellIs" dxfId="195" priority="21" operator="greaterThan">
      <formula>$B$16*0.05</formula>
    </cfRule>
  </conditionalFormatting>
  <conditionalFormatting sqref="B10">
    <cfRule type="expression" dxfId="194" priority="15">
      <formula>IF(AND(B9="CPPS-406",B10=18),"","")</formula>
    </cfRule>
  </conditionalFormatting>
  <conditionalFormatting sqref="S7 F14">
    <cfRule type="cellIs" dxfId="193" priority="23" operator="greaterThan">
      <formula>$B$28</formula>
    </cfRule>
    <cfRule type="cellIs" dxfId="192" priority="24" operator="lessThanOrEqual">
      <formula>$B$28</formula>
    </cfRule>
  </conditionalFormatting>
  <conditionalFormatting sqref="G20">
    <cfRule type="expression" dxfId="191" priority="10">
      <formula>AND($B$20=7, $G$20&lt;=7.5)</formula>
    </cfRule>
    <cfRule type="cellIs" dxfId="190" priority="18" operator="lessThanOrEqual">
      <formula>$B$20</formula>
    </cfRule>
    <cfRule type="cellIs" dxfId="189" priority="19" operator="greaterThan">
      <formula>$B$20</formula>
    </cfRule>
  </conditionalFormatting>
  <conditionalFormatting sqref="C53">
    <cfRule type="cellIs" dxfId="188" priority="16" operator="greaterThan">
      <formula>32000</formula>
    </cfRule>
    <cfRule type="cellIs" dxfId="187" priority="17" operator="lessThanOrEqual">
      <formula>32000</formula>
    </cfRule>
  </conditionalFormatting>
  <conditionalFormatting sqref="F18">
    <cfRule type="cellIs" dxfId="186" priority="13" operator="greaterThan">
      <formula>$G$18</formula>
    </cfRule>
    <cfRule type="cellIs" dxfId="185" priority="14" operator="lessThanOrEqual">
      <formula>$G$18</formula>
    </cfRule>
  </conditionalFormatting>
  <conditionalFormatting sqref="F19">
    <cfRule type="cellIs" dxfId="184" priority="11" operator="greaterThan">
      <formula>$G$19</formula>
    </cfRule>
    <cfRule type="cellIs" dxfId="183" priority="12" operator="lessThanOrEqual">
      <formula>$G$19</formula>
    </cfRule>
  </conditionalFormatting>
  <conditionalFormatting sqref="I25">
    <cfRule type="cellIs" dxfId="182" priority="8" operator="notEqual">
      <formula>"OK"</formula>
    </cfRule>
    <cfRule type="cellIs" dxfId="181" priority="9" operator="equal">
      <formula>"OK"</formula>
    </cfRule>
  </conditionalFormatting>
  <conditionalFormatting sqref="I13">
    <cfRule type="cellIs" dxfId="180" priority="7" operator="notEqual">
      <formula>"JACK FORCE OK"</formula>
    </cfRule>
  </conditionalFormatting>
  <conditionalFormatting sqref="I18">
    <cfRule type="cellIs" dxfId="179" priority="6" operator="notEqual">
      <formula>"PINCH GEAR OK"</formula>
    </cfRule>
  </conditionalFormatting>
  <conditionalFormatting sqref="I19">
    <cfRule type="cellIs" dxfId="178" priority="5" operator="notEqual">
      <formula>"STR GEAR OK"</formula>
    </cfRule>
  </conditionalFormatting>
  <conditionalFormatting sqref="I22">
    <cfRule type="cellIs" dxfId="177" priority="4" operator="notEqual">
      <formula>"FPM SUFFICIENT"</formula>
    </cfRule>
  </conditionalFormatting>
  <conditionalFormatting sqref="I20">
    <cfRule type="cellIs" dxfId="176" priority="3" operator="notEqual">
      <formula>"HP SUFFICIENT"</formula>
    </cfRule>
  </conditionalFormatting>
  <conditionalFormatting sqref="I24">
    <cfRule type="cellIs" dxfId="175" priority="2" operator="notEqual">
      <formula>"OK"</formula>
    </cfRule>
  </conditionalFormatting>
  <conditionalFormatting sqref="I14">
    <cfRule type="cellIs" dxfId="174" priority="1" operator="notEqual">
      <formula>""</formula>
    </cfRule>
  </conditionalFormatting>
  <pageMargins left="0.7" right="0.25" top="0.75" bottom="0.5" header="0.3" footer="0.3"/>
  <pageSetup scale="9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Spinner 1">
              <controlPr defaultSize="0" autoPict="0">
                <anchor moveWithCells="1" sizeWithCells="1">
                  <from>
                    <xdr:col>10</xdr:col>
                    <xdr:colOff>0</xdr:colOff>
                    <xdr:row>8</xdr:row>
                    <xdr:rowOff>0</xdr:rowOff>
                  </from>
                  <to>
                    <xdr:col>10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6" r:id="rId5" name="Button 2">
              <controlPr locked="0" defaultSize="0" print="0" autoFill="0" autoPict="0" macro="[0]!Get_Info_StrUtilityFPM">
                <anchor moveWithCells="1" sizeWithCells="1">
                  <from>
                    <xdr:col>10</xdr:col>
                    <xdr:colOff>142875</xdr:colOff>
                    <xdr:row>5</xdr:row>
                    <xdr:rowOff>0</xdr:rowOff>
                  </from>
                  <to>
                    <xdr:col>10</xdr:col>
                    <xdr:colOff>828675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7" r:id="rId6" name="Button 3">
              <controlPr locked="0" defaultSize="0" print="0" autoFill="0" autoPict="0" macro="[0]!Get_Info_StrUtilityHpFPM">
                <anchor moveWithCells="1" sizeWithCells="1">
                  <from>
                    <xdr:col>10</xdr:col>
                    <xdr:colOff>152400</xdr:colOff>
                    <xdr:row>6</xdr:row>
                    <xdr:rowOff>38100</xdr:rowOff>
                  </from>
                  <to>
                    <xdr:col>10</xdr:col>
                    <xdr:colOff>819150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7" name="Button 4">
              <controlPr defaultSize="0" print="0" autoFill="0" autoPict="0" macro="[0]!Tbl_Contents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190500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FAC17-2CFE-430C-AB9A-F7A60E361A5A}">
  <sheetPr codeName="Sheet53">
    <tabColor theme="1"/>
    <pageSetUpPr fitToPage="1"/>
  </sheetPr>
  <dimension ref="A1:X94"/>
  <sheetViews>
    <sheetView zoomScaleNormal="100" workbookViewId="0">
      <selection activeCell="B21" sqref="B21"/>
    </sheetView>
  </sheetViews>
  <sheetFormatPr defaultRowHeight="15" x14ac:dyDescent="0.25"/>
  <cols>
    <col min="1" max="1" width="20.42578125" customWidth="1"/>
    <col min="2" max="2" width="10.42578125" style="2" customWidth="1"/>
    <col min="3" max="3" width="10.28515625" customWidth="1"/>
    <col min="4" max="4" width="4.28515625" customWidth="1"/>
    <col min="5" max="5" width="18.7109375" customWidth="1"/>
    <col min="6" max="6" width="20.7109375" customWidth="1"/>
    <col min="7" max="7" width="16.7109375" customWidth="1"/>
    <col min="8" max="8" width="7.28515625" customWidth="1"/>
    <col min="9" max="9" width="20" bestFit="1" customWidth="1"/>
    <col min="10" max="10" width="11.7109375" customWidth="1"/>
    <col min="11" max="11" width="20" hidden="1" customWidth="1"/>
    <col min="12" max="12" width="10.28515625" hidden="1" customWidth="1"/>
    <col min="13" max="13" width="10.28515625" style="2" hidden="1" customWidth="1"/>
    <col min="14" max="14" width="10.7109375" hidden="1" customWidth="1"/>
    <col min="15" max="15" width="11.42578125" hidden="1" customWidth="1"/>
    <col min="16" max="16" width="10.7109375" hidden="1" customWidth="1"/>
    <col min="17" max="18" width="9.28515625" hidden="1" customWidth="1"/>
    <col min="19" max="19" width="12.42578125" hidden="1" customWidth="1"/>
    <col min="20" max="20" width="10.7109375" hidden="1" customWidth="1"/>
    <col min="21" max="21" width="20.42578125" hidden="1" customWidth="1"/>
    <col min="22" max="22" width="11" hidden="1" customWidth="1"/>
    <col min="23" max="24" width="9.28515625" hidden="1" customWidth="1"/>
    <col min="25" max="26" width="9.28515625" customWidth="1"/>
  </cols>
  <sheetData>
    <row r="1" spans="1:23" ht="18.75" x14ac:dyDescent="0.3">
      <c r="E1" s="32" t="s">
        <v>0</v>
      </c>
      <c r="K1" s="598">
        <f>'Str. Utility (1)'!K1</f>
        <v>0</v>
      </c>
      <c r="L1" t="s">
        <v>309</v>
      </c>
      <c r="M1" s="7">
        <f>IF( payoff="TOP", -coil_od/2, coil_od/2)</f>
        <v>-25.211202308306778</v>
      </c>
      <c r="O1" t="s">
        <v>308</v>
      </c>
      <c r="P1" s="7">
        <f>1/curv_at_yld</f>
        <v>29</v>
      </c>
    </row>
    <row r="2" spans="1:23" x14ac:dyDescent="0.25">
      <c r="E2" s="64" t="s">
        <v>307</v>
      </c>
      <c r="K2" s="598">
        <f>'Str. Utility (1)'!K2</f>
        <v>50</v>
      </c>
      <c r="L2" t="s">
        <v>306</v>
      </c>
      <c r="M2" s="7">
        <f>IF(ABS(1/M1)&gt;curv_at_yld,1/((1/M1)-((ABS(M1)/M1)*(1.5*(1-creep))*curv_at_yld*(1-((1/3)*(curv_at_yld/(1/M1))^2)))), IF(creep=0, ABS(M1)/M1*99999, M1/creep))</f>
        <v>-72.779086692126896</v>
      </c>
      <c r="O2" t="s">
        <v>305</v>
      </c>
      <c r="P2" s="2">
        <f>coil_width*yield*(thk^2)/6</f>
        <v>756</v>
      </c>
    </row>
    <row r="3" spans="1:23" x14ac:dyDescent="0.25">
      <c r="B3"/>
      <c r="E3" s="64"/>
      <c r="K3" s="598" t="str">
        <f>'Str. Utility (1)'!K3</f>
        <v>CPPS-507</v>
      </c>
      <c r="M3" s="7"/>
      <c r="P3" s="2"/>
    </row>
    <row r="4" spans="1:23" x14ac:dyDescent="0.25">
      <c r="A4" s="5" t="s">
        <v>1</v>
      </c>
      <c r="B4" s="987" t="str">
        <f>Customer</f>
        <v>ULTRATECH TOOL&amp; DESIGN, INC.</v>
      </c>
      <c r="C4" s="987"/>
      <c r="D4" s="987"/>
      <c r="E4" s="987"/>
      <c r="F4" s="987"/>
      <c r="K4" s="598">
        <f>'Str. Utility (1)'!K4</f>
        <v>42</v>
      </c>
      <c r="M4" s="7"/>
      <c r="P4" s="2"/>
    </row>
    <row r="5" spans="1:23" x14ac:dyDescent="0.25">
      <c r="A5" s="5" t="s">
        <v>2</v>
      </c>
      <c r="B5" s="988">
        <f>CalcDate</f>
        <v>0</v>
      </c>
      <c r="C5" s="989"/>
      <c r="D5" s="989"/>
      <c r="E5" s="989"/>
      <c r="F5" s="989"/>
      <c r="M5" s="7"/>
      <c r="P5" s="2"/>
    </row>
    <row r="6" spans="1:23" x14ac:dyDescent="0.25">
      <c r="A6" s="5" t="s">
        <v>3</v>
      </c>
      <c r="B6" s="987">
        <f>Reference</f>
        <v>0</v>
      </c>
      <c r="C6" s="987"/>
      <c r="D6" s="987"/>
      <c r="E6" s="987"/>
      <c r="F6" s="987"/>
      <c r="M6" s="7"/>
      <c r="P6" s="2"/>
    </row>
    <row r="7" spans="1:23" x14ac:dyDescent="0.25">
      <c r="L7" t="s">
        <v>304</v>
      </c>
      <c r="M7" s="49">
        <f>1/M2</f>
        <v>-1.3740210896438442E-2</v>
      </c>
      <c r="R7" s="60" t="s">
        <v>303</v>
      </c>
      <c r="S7" s="63">
        <f>L13</f>
        <v>616.39445908839241</v>
      </c>
      <c r="T7" s="62">
        <f>L14</f>
        <v>0.50193672478694817</v>
      </c>
    </row>
    <row r="8" spans="1:23" x14ac:dyDescent="0.25">
      <c r="A8" s="57" t="s">
        <v>302</v>
      </c>
      <c r="B8" s="712" t="str">
        <f>'Str. Utility (1)'!B8</f>
        <v>TOP</v>
      </c>
      <c r="L8" t="s">
        <v>301</v>
      </c>
      <c r="M8" s="49">
        <f>2*yield/(thk*mod)</f>
        <v>3.4482758620689655E-2</v>
      </c>
    </row>
    <row r="9" spans="1:23" x14ac:dyDescent="0.25">
      <c r="A9" s="57" t="s">
        <v>300</v>
      </c>
      <c r="B9" s="995" t="str">
        <f>'Str. Utility (1)'!model</f>
        <v>CPPS-507</v>
      </c>
      <c r="C9" s="996"/>
    </row>
    <row r="10" spans="1:23" x14ac:dyDescent="0.25">
      <c r="A10" s="57" t="s">
        <v>299</v>
      </c>
      <c r="B10" s="713">
        <f>'Str. Utility (1)'!str_width</f>
        <v>42</v>
      </c>
      <c r="C10" s="54"/>
      <c r="D10" s="54"/>
      <c r="L10">
        <v>9706.5564862906867</v>
      </c>
    </row>
    <row r="11" spans="1:23" x14ac:dyDescent="0.25">
      <c r="A11" s="57" t="s">
        <v>298</v>
      </c>
      <c r="B11" s="448">
        <f>'Str. Utility (1)'!B11</f>
        <v>7</v>
      </c>
      <c r="C11" s="54"/>
      <c r="D11" s="54"/>
      <c r="L11" t="s">
        <v>297</v>
      </c>
      <c r="M11"/>
      <c r="N11" t="s">
        <v>296</v>
      </c>
      <c r="P11" t="s">
        <v>295</v>
      </c>
      <c r="R11" t="s">
        <v>294</v>
      </c>
      <c r="S11" t="s">
        <v>293</v>
      </c>
      <c r="T11" t="s">
        <v>292</v>
      </c>
      <c r="U11" t="s">
        <v>291</v>
      </c>
    </row>
    <row r="12" spans="1:23" x14ac:dyDescent="0.25">
      <c r="K12" t="s">
        <v>290</v>
      </c>
      <c r="L12" s="4">
        <f>IF((L10-10000)/1000&lt;B29, "TOO DEEP!", (L10-10000)/1000)</f>
        <v>-0.29344351370931326</v>
      </c>
      <c r="M12" s="4"/>
      <c r="N12" s="4">
        <f>L12+((P12-L12)/2)</f>
        <v>-0.12272175685465664</v>
      </c>
      <c r="O12" s="4"/>
      <c r="P12" s="4">
        <f>thk*0.8</f>
        <v>4.8000000000000001E-2</v>
      </c>
      <c r="R12" s="39">
        <f>rad_at_yld/2</f>
        <v>14.5</v>
      </c>
      <c r="S12" s="39">
        <f>R12-(SQRT(((R12+(thk/4))^2)-((cent_dist/4)^2)))</f>
        <v>0.16044892613440354</v>
      </c>
      <c r="T12" s="39">
        <f>ABS(S12)*-2*1.07</f>
        <v>-0.34336070192762358</v>
      </c>
      <c r="U12" s="43">
        <f>10000+(V20*1000)</f>
        <v>9589.391438666662</v>
      </c>
      <c r="V12" s="43">
        <f>10000+(B29*1000)</f>
        <v>8750</v>
      </c>
      <c r="W12" s="43">
        <f>IF(U12&gt;V12,U12,V12)</f>
        <v>9589.391438666662</v>
      </c>
    </row>
    <row r="13" spans="1:23" x14ac:dyDescent="0.25">
      <c r="A13" s="57" t="s">
        <v>289</v>
      </c>
      <c r="B13" s="530">
        <f>CoilWeight_4</f>
        <v>20000</v>
      </c>
      <c r="C13" s="61"/>
      <c r="D13" s="61"/>
      <c r="F13" s="50" t="s">
        <v>288</v>
      </c>
      <c r="G13" s="50" t="s">
        <v>287</v>
      </c>
      <c r="I13" s="769" t="str">
        <f>IF(jack_force&gt;F14, "JACK FORCE OK", "NOT ENOUGH FORCE")</f>
        <v>JACK FORCE OK</v>
      </c>
      <c r="K13" t="s">
        <v>286</v>
      </c>
      <c r="L13" s="7">
        <f>L18*5.333/cent_dist</f>
        <v>616.39445908839241</v>
      </c>
      <c r="M13" s="7"/>
      <c r="N13" s="7">
        <f>N18*5.333/cent_dist</f>
        <v>539.73725197755948</v>
      </c>
      <c r="O13" s="7"/>
      <c r="P13" s="7">
        <f>P18*5.3333/cent_dist</f>
        <v>95.094728705195564</v>
      </c>
      <c r="R13" s="39"/>
      <c r="S13" s="39">
        <f>R12-(SQRT(((R12+(thk/4))*((R12+(thk/4)))-(((cent_dist/4)*(cent_dist/4))))))</f>
        <v>0.16044892613440354</v>
      </c>
      <c r="T13" s="39"/>
      <c r="U13" s="43"/>
      <c r="V13" s="43"/>
      <c r="W13" s="43"/>
    </row>
    <row r="14" spans="1:23" x14ac:dyDescent="0.25">
      <c r="A14" s="57" t="s">
        <v>285</v>
      </c>
      <c r="B14" s="448">
        <f>CoilID_4</f>
        <v>20</v>
      </c>
      <c r="C14" s="61"/>
      <c r="D14" s="61"/>
      <c r="E14" s="60" t="s">
        <v>284</v>
      </c>
      <c r="F14" s="530">
        <f>((16*yield*coil_width*thk^2)/(15*cent_dist))+(((16*yield*coil_width*thk^2)/(15*cent_dist))*0.19)</f>
        <v>639.74400000000003</v>
      </c>
      <c r="G14" s="58">
        <f>jack_force</f>
        <v>60000</v>
      </c>
      <c r="I14" s="774" t="str">
        <f>IF(F14&gt;(G14*0.6),"Back Up Rolls Recommended", "")</f>
        <v/>
      </c>
      <c r="K14" t="s">
        <v>283</v>
      </c>
      <c r="L14" s="59">
        <f>IF(curv_at_yld&lt;ABS(L17),1-ABS(curv_at_yld/L17)," NONE")</f>
        <v>0.50193672478694817</v>
      </c>
      <c r="M14" s="59">
        <f>IF(curv_at_yld&lt;ABS(M17),1-ABS(curv_at_yld/M17)," NONE")</f>
        <v>0.45730490925072831</v>
      </c>
      <c r="N14" s="59">
        <f>IF(curv_at_yld&lt;ABS(N17),1-ABS(curv_at_yld/N17)," NONE")</f>
        <v>0.23168490136895858</v>
      </c>
      <c r="O14" s="59" t="str">
        <f>IF(curv_at_yld&lt;ABS(O17),1-ABS(curv_at_yld/O17)," NONE")</f>
        <v xml:space="preserve"> NONE</v>
      </c>
      <c r="P14" s="59" t="str">
        <f>IF(curv_at_yld&lt;ABS(P17),1-ABS(curv_at_yld/P17)," NONE")</f>
        <v xml:space="preserve"> NONE</v>
      </c>
      <c r="R14" s="39"/>
      <c r="S14" s="39">
        <f>(SQRT(((R12+(thk/4))*((R12+(thk/4)))-(((cent_dist/4)*(cent_dist/4))))))</f>
        <v>14.339551073865596</v>
      </c>
      <c r="T14" s="39">
        <f>S14-R12</f>
        <v>-0.16044892613440354</v>
      </c>
      <c r="U14" s="43"/>
      <c r="V14" s="43"/>
      <c r="W14" s="43"/>
    </row>
    <row r="15" spans="1:23" x14ac:dyDescent="0.25">
      <c r="A15" s="57" t="s">
        <v>282</v>
      </c>
      <c r="B15" s="448">
        <f>CoilWidth_4</f>
        <v>42</v>
      </c>
      <c r="C15" s="54"/>
      <c r="D15" s="54"/>
      <c r="F15" s="2"/>
      <c r="G15" s="2"/>
      <c r="K15" s="2" t="s">
        <v>281</v>
      </c>
      <c r="L15" s="7">
        <f>(1.314-$B$59*thk+$B$60*L12)*((-0.25*B27^2)-(L12^2)+(2*L12*thk)-thk^2)/(4*(L12+0.00000001)-4*thk)</f>
        <v>18.020135122939283</v>
      </c>
      <c r="M15" s="7">
        <f>-L15</f>
        <v>-18.020135122939283</v>
      </c>
      <c r="N15" s="7">
        <f>((-0.25*B27^2)-($N$12^2)+(2*$N$12*thk)-thk^2)/(4*($N$12+0.00000001)-4*thk)</f>
        <v>27.751742183925948</v>
      </c>
      <c r="O15" s="7">
        <f>-N15</f>
        <v>-27.751742183925948</v>
      </c>
      <c r="P15" s="7">
        <f>(1.314-$B$59*thk+$B$60*P12)*((-0.25*B27^2)-(P12^2)+(2*P12*thk)-thk^2)/(4*(P12+0.00000001)-4*thk)</f>
        <v>553.43689671741413</v>
      </c>
      <c r="S15">
        <v>4</v>
      </c>
      <c r="T15">
        <v>8</v>
      </c>
      <c r="U15">
        <v>2</v>
      </c>
      <c r="V15">
        <v>3</v>
      </c>
    </row>
    <row r="16" spans="1:23" x14ac:dyDescent="0.25">
      <c r="A16" s="57" t="s">
        <v>280</v>
      </c>
      <c r="B16" s="569">
        <f>Thickness_4</f>
        <v>0.06</v>
      </c>
      <c r="C16" s="54"/>
      <c r="D16" s="54"/>
      <c r="F16" s="2"/>
      <c r="G16" s="2"/>
      <c r="K16" s="2" t="s">
        <v>279</v>
      </c>
      <c r="L16" s="2" t="s">
        <v>277</v>
      </c>
      <c r="M16" s="2" t="s">
        <v>278</v>
      </c>
      <c r="N16" s="2" t="s">
        <v>277</v>
      </c>
      <c r="O16" s="2" t="s">
        <v>278</v>
      </c>
      <c r="P16" s="2" t="s">
        <v>277</v>
      </c>
      <c r="R16" s="2" t="s">
        <v>276</v>
      </c>
      <c r="S16" s="39">
        <f>SQRT(((S18)^2)-((S17)^2))</f>
        <v>14.324367350776788</v>
      </c>
      <c r="T16" s="39">
        <f>SQRT(((T18)^2)-((T17)^2))</f>
        <v>14.456291882775473</v>
      </c>
      <c r="U16" s="39">
        <f>SQRT(((U18)^2)-((U17)^2))</f>
        <v>13.784048752090222</v>
      </c>
      <c r="V16" s="39">
        <f>SQRT(((V18)^2)-((V17)^2))</f>
        <v>14.186260959111108</v>
      </c>
    </row>
    <row r="17" spans="1:23" x14ac:dyDescent="0.25">
      <c r="A17" s="57" t="s">
        <v>275</v>
      </c>
      <c r="B17" s="530">
        <f>YieldStrength_4</f>
        <v>30000</v>
      </c>
      <c r="C17" s="54"/>
      <c r="D17" s="54"/>
      <c r="F17" s="50" t="s">
        <v>274</v>
      </c>
      <c r="G17" s="50" t="s">
        <v>273</v>
      </c>
      <c r="H17" s="2"/>
      <c r="K17" s="2" t="s">
        <v>272</v>
      </c>
      <c r="L17" s="49">
        <f>1/L15-$M$7</f>
        <v>6.9233690450152735E-2</v>
      </c>
      <c r="M17" s="49">
        <f>1/M15-1/L21</f>
        <v>-6.3539838868048454E-2</v>
      </c>
      <c r="N17" s="49">
        <f>1/N15-1/M21</f>
        <v>4.4881011296185512E-2</v>
      </c>
      <c r="O17" s="49">
        <f>1/O15-1/N21</f>
        <v>-3.052113534248909E-2</v>
      </c>
      <c r="P17" s="49">
        <f>1/P15-1/O21</f>
        <v>7.3195291757207999E-3</v>
      </c>
      <c r="R17" t="s">
        <v>271</v>
      </c>
      <c r="S17">
        <f>cent_dist/S15</f>
        <v>2.25</v>
      </c>
      <c r="T17">
        <f>cent_dist/T15</f>
        <v>1.125</v>
      </c>
      <c r="U17">
        <f>cent_dist/U15</f>
        <v>4.5</v>
      </c>
      <c r="V17">
        <f>cent_dist/V15</f>
        <v>3</v>
      </c>
    </row>
    <row r="18" spans="1:23" x14ac:dyDescent="0.25">
      <c r="A18" s="57" t="s">
        <v>63</v>
      </c>
      <c r="B18" s="448" t="str">
        <f>Material_4</f>
        <v>HS Steel</v>
      </c>
      <c r="C18" s="54"/>
      <c r="D18" s="54"/>
      <c r="E18" s="5" t="s">
        <v>270</v>
      </c>
      <c r="F18" s="530">
        <f>(P38*P24/VLOOKUP(model,LookupStrModel,14,FALSE))+S35/2*P24+(((M38*N38)/(9.55*O38))*(1/R38))*P24/2</f>
        <v>3106.6562431064995</v>
      </c>
      <c r="G18" s="530">
        <f>(63025*N58)/N60</f>
        <v>47151.532858898267</v>
      </c>
      <c r="H18" s="2"/>
      <c r="I18" s="769" t="str">
        <f>IF(G18&gt;F18, "PINCH GEAR OK", "PINCH GEAR FAILURE")</f>
        <v>PINCH GEAR OK</v>
      </c>
      <c r="K18" s="2" t="s">
        <v>163</v>
      </c>
      <c r="L18" s="7">
        <f>IF(ABS(L17)&lt;curv_at_yld,(mod*coil_width*thk^3)/(12)*(L17),(ABS(L17)/L17)*1.5*My*(1-1/3*((curv_at_yld/L17)^2)))</f>
        <v>1040.23066412817</v>
      </c>
      <c r="M18" s="7">
        <f>IF(ABS(M17)&lt;curv_at_yld,(mod*coil_width*thk^3)/(12)*(M17),(ABS(M17)/M17)*1.5*My*(1-1/3*((curv_at_yld/M17)^2)))</f>
        <v>-1022.6722105441698</v>
      </c>
      <c r="N18" s="7">
        <f>IF(ABS(N17)&lt;curv_at_yld,(mod*coil_width*thk^3)/(12)*(N17),(ABS(N17)/N17)*1.5*My*(1-1/3*((curv_at_yld/N17)^2)))</f>
        <v>910.86354168348669</v>
      </c>
      <c r="O18" s="7">
        <f>IF(ABS(O17)&lt;curv_at_yld,(mod*coil_width*thk^3)/(12)*(O17),(ABS(O17)/O17)*1.5*My*(1-1/3*((curv_at_yld/O17)^2)))</f>
        <v>-669.14537124873084</v>
      </c>
      <c r="P18" s="7">
        <f>IF(ABS(P17)&lt;curv_at_yld,(mod*coil_width*thk^3)/(12)*(P17),(ABS(P17)/P17)*1.5*My*(1-1/3*((curv_at_yld/P17)^2)))</f>
        <v>160.47335764850283</v>
      </c>
      <c r="R18" t="s">
        <v>269</v>
      </c>
      <c r="S18" s="39">
        <f>$R$12</f>
        <v>14.5</v>
      </c>
      <c r="T18" s="39">
        <f>$R$12</f>
        <v>14.5</v>
      </c>
      <c r="U18" s="39">
        <f>$R$12</f>
        <v>14.5</v>
      </c>
      <c r="V18" s="39">
        <f>$R$12</f>
        <v>14.5</v>
      </c>
    </row>
    <row r="19" spans="1:23" x14ac:dyDescent="0.25">
      <c r="E19" s="5" t="s">
        <v>268</v>
      </c>
      <c r="F19" s="530">
        <f>(P38*P25/VLOOKUP(model,LookupStrModel,14,FALSE))+(((M38*N38)/(9.55*O38))*(1/R38))*P25/2*7/11</f>
        <v>741.67713277037558</v>
      </c>
      <c r="G19" s="530">
        <f>(63025*O58)/O60</f>
        <v>32949.855488311572</v>
      </c>
      <c r="H19" s="2"/>
      <c r="I19" s="769" t="str">
        <f>IF(G19&gt;F19, "STR GEAR OK", "STR GEAR FAILURE")</f>
        <v>STR GEAR OK</v>
      </c>
      <c r="K19" s="2" t="s">
        <v>267</v>
      </c>
      <c r="L19" s="49">
        <f>L18/My</f>
        <v>1.3759664869420238</v>
      </c>
      <c r="M19" s="49">
        <f>M18/My</f>
        <v>-1.3527410192383198</v>
      </c>
      <c r="N19" s="49">
        <f>N18/My</f>
        <v>1.2048459546077865</v>
      </c>
      <c r="O19" s="49">
        <f>O18/My</f>
        <v>-0.88511292493218363</v>
      </c>
      <c r="P19" s="49">
        <f>P18/My</f>
        <v>0.2122663460959032</v>
      </c>
      <c r="R19" t="s">
        <v>266</v>
      </c>
      <c r="S19" s="39">
        <f>(S18-S16)*(S15/2)</f>
        <v>0.35126529844642462</v>
      </c>
      <c r="T19" s="39">
        <f>(T18-T16)*(T15/2)</f>
        <v>0.17483246889810999</v>
      </c>
      <c r="U19" s="39">
        <f>(U18-U16)*(U15/2)</f>
        <v>0.71595124790977849</v>
      </c>
      <c r="V19" s="39">
        <f>(V18-V16)*(V15/2)</f>
        <v>0.47060856133333839</v>
      </c>
    </row>
    <row r="20" spans="1:23" x14ac:dyDescent="0.25">
      <c r="A20" s="57" t="s">
        <v>260</v>
      </c>
      <c r="B20" s="770">
        <f>'Str. Utility (1)'!HP</f>
        <v>50</v>
      </c>
      <c r="C20" s="54"/>
      <c r="D20" s="54"/>
      <c r="E20" s="990" t="s">
        <v>259</v>
      </c>
      <c r="F20" s="991"/>
      <c r="G20" s="766">
        <f>IF(pro_brake="NO", (S39*N38)/63000, IF(pro_brake="YES", (S38*N38)/63000))</f>
        <v>14.253660218478274</v>
      </c>
      <c r="I20" s="769" t="str">
        <f>IF(HP&gt;G20, "HP SUFFICIENT", "HP INSUFFICIENT")</f>
        <v>HP SUFFICIENT</v>
      </c>
      <c r="K20" s="2" t="s">
        <v>264</v>
      </c>
      <c r="L20" s="49">
        <f>-curv_at_yld*L19</f>
        <v>-4.7447120239380129E-2</v>
      </c>
      <c r="M20" s="49">
        <f>-curv_at_yld*M19</f>
        <v>4.6646242042700681E-2</v>
      </c>
      <c r="N20" s="49">
        <f>-curv_at_yld*N19</f>
        <v>-4.1546412227854705E-2</v>
      </c>
      <c r="O20" s="49">
        <f>-curv_at_yld*O19</f>
        <v>3.052113534248909E-2</v>
      </c>
      <c r="P20" s="49">
        <f>-curv_at_yld*P19</f>
        <v>-7.3195291757207999E-3</v>
      </c>
      <c r="R20" t="s">
        <v>263</v>
      </c>
      <c r="S20" s="39">
        <f>thk-S19</f>
        <v>-0.29126529844642463</v>
      </c>
      <c r="T20" s="39">
        <f>thk-T19</f>
        <v>-0.11483246889811</v>
      </c>
      <c r="U20" s="39">
        <f>thk-U19</f>
        <v>-0.65595124790977843</v>
      </c>
      <c r="V20" s="39">
        <f>thk-V19</f>
        <v>-0.4106085613333384</v>
      </c>
    </row>
    <row r="21" spans="1:23" ht="17.25" x14ac:dyDescent="0.25">
      <c r="A21" s="57" t="s">
        <v>262</v>
      </c>
      <c r="B21" s="783">
        <v>1</v>
      </c>
      <c r="C21" s="54"/>
      <c r="D21" s="54"/>
      <c r="F21" s="2"/>
      <c r="G21" s="7"/>
      <c r="K21" s="2" t="s">
        <v>261</v>
      </c>
      <c r="L21" s="7">
        <f>1/((1/L15)+L20)</f>
        <v>124.27980915773331</v>
      </c>
      <c r="M21" s="7">
        <f>1/((1/M15)+M20)</f>
        <v>-113.02963199022692</v>
      </c>
      <c r="N21" s="7">
        <f>1/((1/N15)+N20)</f>
        <v>-181.40133992051457</v>
      </c>
      <c r="O21" s="7">
        <f>1/((1/O15)+O20)</f>
        <v>-181.40133992051457</v>
      </c>
      <c r="P21" s="7">
        <f>1/((1/P15)+P20)</f>
        <v>-181.40133992051457</v>
      </c>
      <c r="R21" s="43">
        <f>L15</f>
        <v>18.020135122939283</v>
      </c>
      <c r="S21" s="39">
        <f>R21-(SQRT(((R21+(thk/4))^2)-((cent_dist/4)^2)))</f>
        <v>0.12590144550346594</v>
      </c>
      <c r="T21" s="39">
        <f>ABS(S21)*-2</f>
        <v>-0.25180289100693187</v>
      </c>
      <c r="U21" s="39"/>
      <c r="V21" s="39"/>
    </row>
    <row r="22" spans="1:23" x14ac:dyDescent="0.25">
      <c r="A22" s="57" t="s">
        <v>265</v>
      </c>
      <c r="B22" s="770">
        <f>'Str. Utility (1)'!fpm</f>
        <v>120</v>
      </c>
      <c r="C22" s="54"/>
      <c r="D22" s="54"/>
      <c r="F22" s="2"/>
      <c r="G22" s="2"/>
      <c r="I22" s="769" t="str">
        <f>IF(fpm&gt;=ReqMaxFPM_3*FPMBuffer,"FPM SUFFICIENT", "FPM NOT SUFFICIENT")</f>
        <v>FPM SUFFICIENT</v>
      </c>
      <c r="K22" t="s">
        <v>258</v>
      </c>
      <c r="L22" s="7">
        <f>1/(1-L14)</f>
        <v>2.007777023054429</v>
      </c>
      <c r="M22" s="7"/>
      <c r="N22" s="7">
        <f>1/(1-N14)</f>
        <v>1.3015493275893799</v>
      </c>
      <c r="O22" s="7"/>
      <c r="P22" s="7" t="e">
        <f>1/(1-P14)</f>
        <v>#VALUE!</v>
      </c>
      <c r="T22" s="39">
        <f>L12/T21</f>
        <v>1.1653699150786758</v>
      </c>
    </row>
    <row r="23" spans="1:23" x14ac:dyDescent="0.25">
      <c r="A23" s="57" t="s">
        <v>257</v>
      </c>
      <c r="B23" s="448" t="str">
        <f>'Str. Utility (1)'!pro_brake</f>
        <v>YES</v>
      </c>
      <c r="F23" s="2"/>
      <c r="G23" s="2"/>
      <c r="L23" t="s">
        <v>256</v>
      </c>
      <c r="M23" s="2" t="s">
        <v>255</v>
      </c>
      <c r="N23" t="s">
        <v>226</v>
      </c>
      <c r="O23" t="s">
        <v>225</v>
      </c>
      <c r="P23" t="s">
        <v>224</v>
      </c>
      <c r="Q23" t="s">
        <v>223</v>
      </c>
    </row>
    <row r="24" spans="1:23" x14ac:dyDescent="0.25">
      <c r="C24" s="54"/>
      <c r="D24" s="54"/>
      <c r="E24" s="5" t="s">
        <v>254</v>
      </c>
      <c r="F24" s="530">
        <f>IF(coil_od=72, (((72^2)-(coil_id^2))/4)*PI()*VLOOKUP(material,LookupMaterial,4,FALSE)*coil_width, (((coil_od^2)-(coil_id^2))/4)*PI()*VLOOKUP(material,LookupMaterial,4,FALSE)*coil_width)</f>
        <v>20000</v>
      </c>
      <c r="G24" s="2"/>
      <c r="I24" s="27" t="str" cm="1">
        <f t="array" ref="I24">_xlfn.IFS(RollSelection="7 Roll Str. Backbend", Str4_7YieldMet, RollSelection="9 Roll Str. Backbend", Str4_9YieldMet, RollSelection="11 Roll Str. Backbend", Str4_11YieldMet)</f>
        <v>OK</v>
      </c>
      <c r="K24" s="2" t="s">
        <v>253</v>
      </c>
      <c r="L24" s="2">
        <f>str_width+2</f>
        <v>44</v>
      </c>
      <c r="M24" s="2">
        <v>4</v>
      </c>
      <c r="N24" s="13">
        <f>((pinch_dia^2)/4)*PI()*L24*M24*0.283</f>
        <v>1738.8010547320055</v>
      </c>
      <c r="O24" s="49">
        <f>((N24/32.3)*0.5*(((pinch_dia*0.5)^2)/144)*12)</f>
        <v>24.925108060779742</v>
      </c>
      <c r="P24" s="7">
        <f>1750/((fpm*12)/(pinch_dia*PI()))</f>
        <v>25.45399089416355</v>
      </c>
      <c r="Q24" s="49">
        <f>O24/(P24^2)</f>
        <v>3.8470274131590119E-2</v>
      </c>
    </row>
    <row r="25" spans="1:23" x14ac:dyDescent="0.25">
      <c r="A25" s="5" t="s">
        <v>252</v>
      </c>
      <c r="B25" s="766">
        <f>VLOOKUP(model, LookupStrModel, 2,FALSE)</f>
        <v>5</v>
      </c>
      <c r="C25" s="54"/>
      <c r="D25" s="54"/>
      <c r="E25" s="5" t="s">
        <v>251</v>
      </c>
      <c r="F25" s="771">
        <f>MIN(V31:W31)</f>
        <v>50.422404616613555</v>
      </c>
      <c r="I25" s="27" t="str">
        <f>IFERROR(IF(AND(jack_force&gt;F14,G18&gt;F18,G19&gt;F19,HP&gt;G20, fpm&gt;=ReqMaxFPM_3*FPMBuffer,I24="OK"), "OK", "NOT OK"), "NOT OK")</f>
        <v>OK</v>
      </c>
      <c r="K25" s="2" t="s">
        <v>189</v>
      </c>
      <c r="L25" s="2">
        <f>str_width+2</f>
        <v>44</v>
      </c>
      <c r="M25" s="2">
        <f>B11</f>
        <v>7</v>
      </c>
      <c r="N25" s="13">
        <f>((str_dia^2)/4)*PI()*L25*M25*0.283</f>
        <v>1711.4611378593795</v>
      </c>
      <c r="O25" s="49">
        <f>((N25/32.3)*0.5*(((str_dia*0.5)^2)/144)*12)</f>
        <v>13.798545035630962</v>
      </c>
      <c r="P25" s="7">
        <f>1750/((fpm*12)/(str_dia*PI()))</f>
        <v>19.089538693687981</v>
      </c>
      <c r="Q25" s="49">
        <f>O25/(P25^2)</f>
        <v>3.7865389464674083E-2</v>
      </c>
    </row>
    <row r="26" spans="1:23" x14ac:dyDescent="0.25">
      <c r="A26" s="5" t="s">
        <v>250</v>
      </c>
      <c r="B26" s="766">
        <f>VLOOKUP(model, LookupStrModel, 4,FALSE)</f>
        <v>6.6669999999999998</v>
      </c>
      <c r="C26" s="54"/>
      <c r="D26" s="54"/>
    </row>
    <row r="27" spans="1:23" x14ac:dyDescent="0.25">
      <c r="A27" s="5" t="s">
        <v>249</v>
      </c>
      <c r="B27" s="766">
        <f>VLOOKUP(model, LookupStrModel, 3,FALSE)</f>
        <v>9</v>
      </c>
      <c r="C27" s="54"/>
      <c r="D27" s="54"/>
      <c r="E27" s="5" t="s">
        <v>248</v>
      </c>
      <c r="F27" s="771">
        <f>str_tq</f>
        <v>36.241427165775391</v>
      </c>
      <c r="K27" s="2" t="s">
        <v>247</v>
      </c>
      <c r="L27" t="s">
        <v>246</v>
      </c>
      <c r="O27" t="s">
        <v>245</v>
      </c>
      <c r="P27" t="s">
        <v>244</v>
      </c>
    </row>
    <row r="28" spans="1:23" x14ac:dyDescent="0.25">
      <c r="A28" s="5" t="s">
        <v>243</v>
      </c>
      <c r="B28" s="530">
        <f>VLOOKUP(model, LookupStrModel, 5,FALSE)</f>
        <v>60000</v>
      </c>
      <c r="C28" s="54"/>
      <c r="D28" s="54"/>
      <c r="E28" s="5" t="s">
        <v>242</v>
      </c>
      <c r="F28" s="771">
        <f>IF(pro_brake="YES", $Q$38, IF(pro_brake="NO", $Q$39))</f>
        <v>420.28806983777423</v>
      </c>
      <c r="K28" s="2">
        <f>IF(M25&lt;7, (M25/3.5)+0.1, IF(M25&lt;9, M25/3.5, IF(M25&lt;11,(M25/3.5)-0.1,3)))</f>
        <v>2</v>
      </c>
      <c r="L28" s="56">
        <f>(16/15)*((yield*coil_width*thk*thk)/cent_dist)</f>
        <v>537.6</v>
      </c>
      <c r="P28">
        <f>(S38*N38)/63000</f>
        <v>14.253660218478274</v>
      </c>
      <c r="U28" t="s">
        <v>241</v>
      </c>
    </row>
    <row r="29" spans="1:23" x14ac:dyDescent="0.25">
      <c r="A29" s="5" t="s">
        <v>240</v>
      </c>
      <c r="B29" s="569">
        <f>VLOOKUP(model, LookupStrModel, 6,FALSE)</f>
        <v>-1.25</v>
      </c>
      <c r="C29" s="54"/>
      <c r="E29" s="5" t="s">
        <v>239</v>
      </c>
      <c r="F29" s="771">
        <f>IF(pro_brake="YES", $S$34, IF(pro_brake="NO", $S$35))</f>
        <v>56.602270861668266</v>
      </c>
      <c r="G29" t="s">
        <v>79</v>
      </c>
      <c r="V29" t="s">
        <v>238</v>
      </c>
      <c r="W29" t="s">
        <v>237</v>
      </c>
    </row>
    <row r="30" spans="1:23" x14ac:dyDescent="0.25">
      <c r="A30" s="5" t="s">
        <v>236</v>
      </c>
      <c r="B30" s="530">
        <f>VLOOKUP(B18, LookupMaterial, 3)</f>
        <v>29000000</v>
      </c>
      <c r="L30" t="s">
        <v>235</v>
      </c>
      <c r="N30" t="s">
        <v>226</v>
      </c>
      <c r="O30" t="s">
        <v>225</v>
      </c>
      <c r="P30" t="s">
        <v>224</v>
      </c>
      <c r="Q30" t="s">
        <v>223</v>
      </c>
      <c r="U30" t="s">
        <v>234</v>
      </c>
      <c r="V30" s="41">
        <f>(((coil_od^2)-(coil_id^2))/4)*PI()*VLOOKUP(material,LookupMaterial,4,FALSE)*coil_width</f>
        <v>20000</v>
      </c>
      <c r="W30" s="41">
        <f>((($W$31^2)-(coil_id^2))/4)*PI()*VLOOKUP(material,LookupMaterial,4,FALSE)*coil_width</f>
        <v>44659.800455559664</v>
      </c>
    </row>
    <row r="31" spans="1:23" x14ac:dyDescent="0.25">
      <c r="L31" s="2">
        <v>96</v>
      </c>
      <c r="N31" s="13">
        <f>thk*coil_width*VLOOKUP(material,LookupMaterial,4,FALSE)*L31</f>
        <v>68.463359999999994</v>
      </c>
      <c r="O31" s="49">
        <f>((N31/32.3)*(((pinch_dia*0.5)^2)/144)*12)</f>
        <v>1.9627968841634675</v>
      </c>
      <c r="P31" s="7">
        <f>P24</f>
        <v>25.45399089416355</v>
      </c>
      <c r="Q31" s="49">
        <f>O31/(P31^2)</f>
        <v>3.0294486192104135E-3</v>
      </c>
      <c r="U31" t="s">
        <v>233</v>
      </c>
      <c r="V31" s="41">
        <f>SQRT((coil_id^2)+((4*Coil_weight)/(PI()*VLOOKUP(material,LookupMaterial,4,FALSE)*coil_width)))</f>
        <v>50.422404616613555</v>
      </c>
      <c r="W31" s="41">
        <v>72</v>
      </c>
    </row>
    <row r="32" spans="1:23" ht="14.25" customHeight="1" x14ac:dyDescent="0.25">
      <c r="A32" s="52" t="s">
        <v>232</v>
      </c>
      <c r="B32" s="50" t="s">
        <v>231</v>
      </c>
      <c r="C32" s="50" t="s">
        <v>230</v>
      </c>
    </row>
    <row r="33" spans="1:19" ht="14.25" customHeight="1" x14ac:dyDescent="0.25">
      <c r="A33" s="5" t="s">
        <v>229</v>
      </c>
      <c r="B33" s="448">
        <f>VLOOKUP(model,LookupStrModel,9,FALSE)</f>
        <v>24</v>
      </c>
      <c r="C33" s="448">
        <f>VLOOKUP(model,LookupStrModel,10,FALSE)</f>
        <v>4</v>
      </c>
      <c r="L33" t="s">
        <v>228</v>
      </c>
      <c r="M33" s="2" t="s">
        <v>227</v>
      </c>
      <c r="N33" t="s">
        <v>226</v>
      </c>
      <c r="O33" t="s">
        <v>225</v>
      </c>
      <c r="P33" t="s">
        <v>224</v>
      </c>
      <c r="Q33" t="s">
        <v>223</v>
      </c>
      <c r="S33" t="s">
        <v>222</v>
      </c>
    </row>
    <row r="34" spans="1:19" ht="14.25" customHeight="1" x14ac:dyDescent="0.25">
      <c r="A34" s="5" t="s">
        <v>221</v>
      </c>
      <c r="B34" s="448">
        <f>VLOOKUP(model,LookupStrModel,11,FALSE)</f>
        <v>18</v>
      </c>
      <c r="C34" s="448">
        <f>VLOOKUP(model,LookupStrModel,12,FALSE)</f>
        <v>4</v>
      </c>
      <c r="L34" t="s">
        <v>212</v>
      </c>
      <c r="M34" s="13">
        <f>((((((coil_od^2)/4)*PI()*coil_width*VLOOKUP(material,LookupMaterial,4,FALSE))/32.3*0.5*(((coil_od*0.5)^2)/144))*12)*((fpm*12)/(coil_od*PI())))/(9.55*O38)</f>
        <v>9261.9357371140886</v>
      </c>
      <c r="N34" s="13">
        <f>(((coil_od^2)-(coil_id^2))/4)*PI()*VLOOKUP(material,LookupMaterial,4,FALSE)*coil_width</f>
        <v>20000</v>
      </c>
      <c r="O34" s="13">
        <f>(((((coil_od^2)*PI())/4*VLOOKUP(material,LookupMaterial,4,FALSE)*coil_width)/32.3)*0.5*(((coil_od*0.5)^2)/144))*12</f>
        <v>19460.144658685687</v>
      </c>
      <c r="P34" s="13">
        <f>(coil_od/pinch_dia)*P24</f>
        <v>192.50808879152714</v>
      </c>
      <c r="Q34" s="49">
        <f>(O34/(P34^2))</f>
        <v>0.52510735282239107</v>
      </c>
      <c r="S34" s="13">
        <f>(M34/((coil_od/pinch_dia)*P24))/R38</f>
        <v>56.602270861668266</v>
      </c>
    </row>
    <row r="35" spans="1:19" ht="14.25" customHeight="1" x14ac:dyDescent="0.25">
      <c r="A35" s="5" t="s">
        <v>220</v>
      </c>
      <c r="B35" s="448">
        <f>VLOOKUP(model,LookupStrModel,13,FALSE)</f>
        <v>4</v>
      </c>
      <c r="C35" s="51"/>
      <c r="L35" t="s">
        <v>211</v>
      </c>
      <c r="N35" s="2"/>
      <c r="O35" s="13">
        <f>(((((coil_id^2)*PI())/4*VLOOKUP(material,LookupMaterial,4,FALSE)*coil_width)/32.3)*0.5*(((coil_id*0.5)^2)/144))*12</f>
        <v>481.69466306202628</v>
      </c>
      <c r="P35" s="13">
        <f>(coil_id/pinch_dia)*P24</f>
        <v>76.358154774751924</v>
      </c>
      <c r="Q35" s="49">
        <f>(O35/(P35^2))</f>
        <v>8.2615395195652544E-2</v>
      </c>
      <c r="S35" s="13">
        <f>(M34/((coil_id/pinch_dia)*P24))/R38</f>
        <v>142.7011301803096</v>
      </c>
    </row>
    <row r="36" spans="1:19" ht="14.25" customHeight="1" x14ac:dyDescent="0.25">
      <c r="A36" s="5" t="s">
        <v>219</v>
      </c>
      <c r="B36" s="448">
        <v>20</v>
      </c>
      <c r="C36" s="15"/>
    </row>
    <row r="37" spans="1:19" ht="14.25" customHeight="1" x14ac:dyDescent="0.25">
      <c r="G37" t="s">
        <v>79</v>
      </c>
      <c r="M37" s="2">
        <v>0.32</v>
      </c>
      <c r="N37" t="s">
        <v>218</v>
      </c>
      <c r="O37" t="s">
        <v>217</v>
      </c>
      <c r="P37" t="s">
        <v>216</v>
      </c>
      <c r="Q37" t="s">
        <v>215</v>
      </c>
      <c r="R37" t="s">
        <v>214</v>
      </c>
      <c r="S37" t="s">
        <v>213</v>
      </c>
    </row>
    <row r="38" spans="1:19" x14ac:dyDescent="0.25">
      <c r="L38" t="s">
        <v>212</v>
      </c>
      <c r="M38" s="49">
        <f>SUM(Q24:Q34)</f>
        <v>0.60447246503786567</v>
      </c>
      <c r="N38" s="2">
        <v>1750</v>
      </c>
      <c r="O38" s="7">
        <f>(fpm/60)/accel</f>
        <v>2</v>
      </c>
      <c r="P38" s="7">
        <f>(((((((0.667*yield*coil_width*(thk^2))/cent_dist)*0.35*fpm*K28)/33000)*5250)/N38)*12)/R38</f>
        <v>36.241427165775391</v>
      </c>
      <c r="Q38" s="13">
        <f>(((M38*N38)/(9.55*O38))*(1/R38))+((M41*N38)/(9.55*O38))</f>
        <v>420.28806983777423</v>
      </c>
      <c r="R38" s="2">
        <v>0.85</v>
      </c>
      <c r="S38" s="41">
        <f>S34+P38+Q38</f>
        <v>513.13176786521785</v>
      </c>
    </row>
    <row r="39" spans="1:19" x14ac:dyDescent="0.25">
      <c r="L39" t="s">
        <v>211</v>
      </c>
      <c r="M39" s="49">
        <f>SUM(Q24:Q32)+Q35</f>
        <v>0.16198050741112716</v>
      </c>
      <c r="N39" s="2"/>
      <c r="O39" s="2"/>
      <c r="P39" s="2"/>
      <c r="Q39" s="13">
        <f>(((M39*N38)/(9.55*O38))*(1/R38))+((M41*N38)/(9.55*O38))</f>
        <v>372.59106177822434</v>
      </c>
      <c r="R39" s="2"/>
      <c r="S39" s="41">
        <f>S35+P38+Q39</f>
        <v>551.53361912430933</v>
      </c>
    </row>
    <row r="40" spans="1:19" x14ac:dyDescent="0.25">
      <c r="M40" s="2" t="s">
        <v>210</v>
      </c>
    </row>
    <row r="41" spans="1:19" x14ac:dyDescent="0.25">
      <c r="M41" s="30">
        <f>'Str. Utility (1)'!$M$41</f>
        <v>3.8759999999999999</v>
      </c>
    </row>
    <row r="47" spans="1:19" x14ac:dyDescent="0.25">
      <c r="L47" t="s">
        <v>209</v>
      </c>
      <c r="R47" t="s">
        <v>208</v>
      </c>
    </row>
    <row r="48" spans="1:19" x14ac:dyDescent="0.25">
      <c r="L48" t="s">
        <v>207</v>
      </c>
      <c r="N48">
        <f>IF(model="SPGPS-810", 165100, IF(model="CPPS-306", 165100, IF(model="CPPS-406", 165100, IF(model="CPPS-507", 165100, 128000))))</f>
        <v>165100</v>
      </c>
    </row>
    <row r="49" spans="1:22" hidden="1" x14ac:dyDescent="0.25">
      <c r="L49" t="s">
        <v>206</v>
      </c>
      <c r="N49">
        <f>$N$48/3</f>
        <v>55033.333333333336</v>
      </c>
      <c r="Q49" t="s">
        <v>205</v>
      </c>
      <c r="S49" s="43">
        <f>B36*(PI()/180)</f>
        <v>0.3490658503988659</v>
      </c>
      <c r="U49" t="s">
        <v>204</v>
      </c>
      <c r="V49" s="44">
        <f>-1*(5/384*V50*((str_width+1.75)^3)/mod/V52)</f>
        <v>-2.9793355656766344E-4</v>
      </c>
    </row>
    <row r="50" spans="1:22" hidden="1" x14ac:dyDescent="0.25">
      <c r="L50" t="s">
        <v>203</v>
      </c>
      <c r="N50">
        <f>N60</f>
        <v>68.751497840806749</v>
      </c>
      <c r="O50" s="43">
        <f>O60</f>
        <v>91.673247220931714</v>
      </c>
      <c r="Q50" t="s">
        <v>202</v>
      </c>
      <c r="S50" s="41">
        <f>P38/COS(S49)</f>
        <v>38.567321232622866</v>
      </c>
      <c r="U50" t="s">
        <v>201</v>
      </c>
      <c r="V50" s="44">
        <f>((str_dia/2)^2)*PI()*(str_width+1.75)*0.283</f>
        <v>243.10527526411641</v>
      </c>
    </row>
    <row r="51" spans="1:22" hidden="1" x14ac:dyDescent="0.25">
      <c r="B51"/>
      <c r="C51" s="5" t="s">
        <v>200</v>
      </c>
      <c r="L51" t="s">
        <v>199</v>
      </c>
      <c r="N51">
        <f>IF(B33=12, 0.245, IF(B33=13, 0.261, IF(B33=14, 0.277, IF(B33=15, 0.29, IF(B33=16, 0.296, IF(B33=17, 0.302, IF(B33=18, 0.314, IF(B33=19, 0.314, IF(B33=20, 0.321, IF(B33=21, 0.327, IF(B33=22, 0.33, IF(B33=24, 0.337, IF(B33=25, 0.341, IF(B33=26, 0.346, IF(B33=27, 0.348, IF(B33=28, 0.352, IF(B33=30, 0.359,IF(B33=31, 0.362, IF(B33=32, 0.365, IF(B33=34, 0.37,))))))))))))))))))))</f>
        <v>0.33700000000000002</v>
      </c>
      <c r="O51">
        <f>IF(B34=12, 0.245, IF(B34=13, 0.261, IF(B34=14, 0.277, IF(B34=15, 0.29, IF(B34=16, 0.296, IF(B34=17, 0.302, IF(B34=18, 0.314, IF(B34=19, 0.314, IF(B34=20, 0.321, IF(B34=21, 0.327, IF(B34=22, 0.33, IF(B34=24, 0.337, IF(B34=25, 0.0341, IF(B34=26, 0.346, IF(B34=27, 0.348, IF(B34=28, 0.352, IF(B34=30, 0.359, IF(B34=31, 0.362, IF(B34=32, 0.365, IF(B34=34, 0.37,))))))))))))))))))))</f>
        <v>0.314</v>
      </c>
      <c r="Q51" t="s">
        <v>198</v>
      </c>
      <c r="S51" s="41">
        <f>S50+L13</f>
        <v>654.96178032101523</v>
      </c>
      <c r="U51" t="s">
        <v>197</v>
      </c>
      <c r="V51" s="44">
        <f>PI()*(str_dia^3)/32</f>
        <v>12.271846303085129</v>
      </c>
    </row>
    <row r="52" spans="1:22" hidden="1" x14ac:dyDescent="0.25">
      <c r="B52" s="5" t="s">
        <v>196</v>
      </c>
      <c r="C52" s="48">
        <f>IF(str_width=coil_width, V58, V58*0.85)</f>
        <v>4.2750274569418529E-4</v>
      </c>
      <c r="D52" s="39"/>
      <c r="F52" s="47" t="str">
        <f>IF(OR(C52&gt;(thk*0.05),C53&gt;=32000), "NEED BACKUPS", "NO BACKUPS REQ.")</f>
        <v>NO BACKUPS REQ.</v>
      </c>
      <c r="H52" s="33"/>
      <c r="I52" s="46"/>
      <c r="J52" s="33"/>
      <c r="Q52" t="s">
        <v>179</v>
      </c>
      <c r="S52" s="39">
        <f>(PI()*((str_dia/2)^4))/4</f>
        <v>30.679615757712824</v>
      </c>
      <c r="U52" t="s">
        <v>193</v>
      </c>
      <c r="V52" s="44">
        <f>PI()*(str_dia^4)/64</f>
        <v>30.679615757712824</v>
      </c>
    </row>
    <row r="53" spans="1:22" hidden="1" x14ac:dyDescent="0.25">
      <c r="B53" s="5" t="s">
        <v>192</v>
      </c>
      <c r="C53" s="45">
        <f>ABS(S59/S53)*1.25</f>
        <v>252.76213373934226</v>
      </c>
      <c r="H53" s="33"/>
      <c r="I53" s="33"/>
      <c r="J53" s="33"/>
      <c r="N53" t="s">
        <v>190</v>
      </c>
      <c r="O53" t="s">
        <v>189</v>
      </c>
      <c r="Q53" t="s">
        <v>188</v>
      </c>
      <c r="S53" s="39">
        <f>S52/(S56)</f>
        <v>12.27184630308513</v>
      </c>
      <c r="U53" t="s">
        <v>187</v>
      </c>
      <c r="V53" s="44">
        <f>((str_width+1.75)-coil_width)/2</f>
        <v>0.875</v>
      </c>
    </row>
    <row r="54" spans="1:22" hidden="1" x14ac:dyDescent="0.25">
      <c r="H54" s="33"/>
      <c r="I54" s="33"/>
      <c r="J54" s="33"/>
      <c r="L54" t="s">
        <v>185</v>
      </c>
      <c r="N54">
        <f>B33/C33</f>
        <v>6</v>
      </c>
      <c r="O54">
        <f>B34/C34</f>
        <v>4.5</v>
      </c>
      <c r="Q54" t="s">
        <v>184</v>
      </c>
      <c r="S54">
        <f>str_width+1.75</f>
        <v>43.75</v>
      </c>
      <c r="U54" t="s">
        <v>183</v>
      </c>
      <c r="V54" s="44">
        <f>F14/2*2</f>
        <v>639.74400000000003</v>
      </c>
    </row>
    <row r="55" spans="1:22" hidden="1" x14ac:dyDescent="0.25">
      <c r="H55" s="33"/>
      <c r="I55" s="33"/>
      <c r="J55" s="33"/>
      <c r="L55" t="s">
        <v>181</v>
      </c>
      <c r="Q55" t="s">
        <v>180</v>
      </c>
      <c r="S55">
        <f>((str_width+1.75)-coil_width)/2</f>
        <v>0.875</v>
      </c>
      <c r="U55" t="s">
        <v>179</v>
      </c>
      <c r="V55" s="44">
        <f>(coil_width*(thk^3)/12)</f>
        <v>7.5600000000000005E-4</v>
      </c>
    </row>
    <row r="56" spans="1:22" hidden="1" x14ac:dyDescent="0.25">
      <c r="H56" s="33"/>
      <c r="I56" s="33"/>
      <c r="J56" s="33"/>
      <c r="L56" t="s">
        <v>178</v>
      </c>
      <c r="N56">
        <f>(N49*B35*N51*600)/(C33*(600+N57))</f>
        <v>15717.266764120166</v>
      </c>
      <c r="O56">
        <f>(N49*B35*O51*600)/(C34*(600+O57))</f>
        <v>14644.463276836159</v>
      </c>
      <c r="Q56" t="s">
        <v>177</v>
      </c>
      <c r="S56">
        <f>str_dia/2</f>
        <v>2.5</v>
      </c>
      <c r="U56" t="s">
        <v>176</v>
      </c>
      <c r="V56" s="44">
        <f>V55/(thk/2)</f>
        <v>2.5200000000000004E-2</v>
      </c>
    </row>
    <row r="57" spans="1:22" hidden="1" x14ac:dyDescent="0.25">
      <c r="H57" s="33"/>
      <c r="I57" s="33"/>
      <c r="J57" s="33"/>
      <c r="L57" t="s">
        <v>175</v>
      </c>
      <c r="N57" s="43">
        <f>(PI()*N54*$N$50)/12</f>
        <v>107.99460026998651</v>
      </c>
      <c r="O57" s="43">
        <f>(PI()*O54*O50)/12</f>
        <v>108</v>
      </c>
      <c r="Q57" t="s">
        <v>174</v>
      </c>
      <c r="S57">
        <f>S54-S55</f>
        <v>42.875</v>
      </c>
    </row>
    <row r="58" spans="1:22" hidden="1" x14ac:dyDescent="0.25">
      <c r="H58" s="33"/>
      <c r="I58" s="33"/>
      <c r="J58" s="33"/>
      <c r="L58" t="s">
        <v>172</v>
      </c>
      <c r="N58">
        <f>(N56*N57)/33000</f>
        <v>51.435755803875807</v>
      </c>
      <c r="O58">
        <f>(O56*O57)/33000</f>
        <v>47.927334360554703</v>
      </c>
      <c r="Q58" t="s">
        <v>171</v>
      </c>
      <c r="S58" s="43">
        <f>(S51/(coil_width*((str_width+1.75)^2)))*(((1/(2*(str_width+1.75))*((S55^4)-(((str_width+1.75)-S55)^4)))-(S55^3)+(((str_width+1.75)-S55)^3)))</f>
        <v>327.48089016050761</v>
      </c>
      <c r="U58" t="s">
        <v>170</v>
      </c>
      <c r="V58" s="39">
        <f>ABS(V63-V62)</f>
        <v>4.2750274569418529E-4</v>
      </c>
    </row>
    <row r="59" spans="1:22" hidden="1" x14ac:dyDescent="0.25">
      <c r="A59" t="s">
        <v>169</v>
      </c>
      <c r="B59" s="599">
        <f>VLOOKUP(model,LookupStrModel,7,FALSE)</f>
        <v>0.18</v>
      </c>
      <c r="E59" t="s">
        <v>138</v>
      </c>
      <c r="Q59" t="s">
        <v>168</v>
      </c>
      <c r="S59" s="43">
        <f>(S51/(2*coil_width*S54))*(((S55^4-S57^4)/(2*S54))-(2/3*S55^3)+(2/3*S57^3))</f>
        <v>2481.4864451912454</v>
      </c>
      <c r="U59" t="s">
        <v>167</v>
      </c>
      <c r="V59" s="39">
        <f>-1*(V54*V53/(24*mod*V52)*((3*((str_width+1.75)^2))-(4*(V53^2))))+V49</f>
        <v>-4.4838653953033745E-4</v>
      </c>
    </row>
    <row r="60" spans="1:22" hidden="1" x14ac:dyDescent="0.25">
      <c r="A60" t="s">
        <v>166</v>
      </c>
      <c r="B60" s="4">
        <f>VLOOKUP(model,LookupStrModel, 8, FALSE)</f>
        <v>0.18</v>
      </c>
      <c r="E60" s="34">
        <v>0.33</v>
      </c>
      <c r="L60" s="992" t="s">
        <v>165</v>
      </c>
      <c r="M60" s="992"/>
      <c r="N60">
        <f>(fpm*12)/(PI()*pinch_dia)</f>
        <v>68.751497840806749</v>
      </c>
      <c r="O60">
        <f>(fpm*12)/(PI()*str_dia)</f>
        <v>91.673247220931714</v>
      </c>
      <c r="U60" t="s">
        <v>164</v>
      </c>
      <c r="V60" s="39">
        <f>-1*(V54*(V53^2)/6/mod/V52*(3*(str_width+1.75)-4*V53)+(V49*V53/(str_width+1.75)/2))</f>
        <v>-8.7421881870183505E-6</v>
      </c>
    </row>
    <row r="61" spans="1:22" hidden="1" x14ac:dyDescent="0.25">
      <c r="Q61" t="s">
        <v>163</v>
      </c>
      <c r="R61">
        <f>(S55*S58)-S59</f>
        <v>-2194.9406663008012</v>
      </c>
      <c r="U61" t="s">
        <v>162</v>
      </c>
      <c r="V61" s="39">
        <f>(V54*(V53^2)/6/mod/V52*(2*V53+(3*V53)))+(V49*V53/(str_width+0.73)/2)</f>
        <v>-2.6490326926954886E-6</v>
      </c>
    </row>
    <row r="62" spans="1:22" x14ac:dyDescent="0.25">
      <c r="U62" t="s">
        <v>161</v>
      </c>
      <c r="V62" s="39">
        <f>V54*V53*(V53^2)/(8*mod*V52)+(2*V53/(str_width+0.73)*V49)</f>
        <v>-1.214160564913386E-5</v>
      </c>
    </row>
    <row r="63" spans="1:22" x14ac:dyDescent="0.25">
      <c r="A63" s="33"/>
      <c r="B63" s="42"/>
      <c r="C63" s="33"/>
      <c r="D63" s="33"/>
      <c r="E63" s="33"/>
      <c r="F63" s="33"/>
      <c r="G63" s="33"/>
      <c r="H63" s="33"/>
      <c r="I63" s="33"/>
      <c r="Q63" t="s">
        <v>152</v>
      </c>
      <c r="S63" s="40">
        <f>ABS(((S55^2)/(6*mod*S52))*((S58*S55)-(3*S59)))</f>
        <v>1.0266050374944578E-6</v>
      </c>
      <c r="U63" t="s">
        <v>151</v>
      </c>
      <c r="V63" s="39">
        <f>V59-V60</f>
        <v>-4.3964435134331912E-4</v>
      </c>
    </row>
    <row r="64" spans="1:22" x14ac:dyDescent="0.25">
      <c r="A64" s="33"/>
      <c r="B64" s="37"/>
      <c r="C64" s="36"/>
      <c r="D64" s="33"/>
      <c r="E64" s="33"/>
      <c r="F64" s="33"/>
      <c r="G64" s="36"/>
      <c r="H64" s="36"/>
      <c r="J64" s="41"/>
      <c r="S64" s="40"/>
      <c r="V64" s="39"/>
    </row>
    <row r="65" spans="1:22" x14ac:dyDescent="0.25">
      <c r="A65" s="33"/>
      <c r="B65" s="37"/>
      <c r="C65" s="36"/>
      <c r="D65" s="33"/>
      <c r="E65" s="33"/>
      <c r="F65" s="33"/>
      <c r="G65" s="36"/>
      <c r="H65" s="36"/>
      <c r="J65" s="41"/>
      <c r="S65" s="40"/>
      <c r="V65" s="39"/>
    </row>
    <row r="66" spans="1:22" x14ac:dyDescent="0.25">
      <c r="A66" s="33"/>
      <c r="B66" s="37"/>
      <c r="C66" s="36"/>
      <c r="D66" s="33"/>
      <c r="E66" s="33"/>
      <c r="F66" s="33"/>
      <c r="G66" s="36"/>
      <c r="H66" s="36"/>
      <c r="J66" s="41"/>
      <c r="S66" s="40"/>
      <c r="V66" s="39"/>
    </row>
    <row r="67" spans="1:22" x14ac:dyDescent="0.25">
      <c r="A67" s="35"/>
      <c r="B67" s="37"/>
      <c r="C67" s="36"/>
      <c r="D67" s="36"/>
      <c r="E67" s="33"/>
      <c r="F67" s="36"/>
      <c r="G67" s="36"/>
      <c r="H67" s="36"/>
      <c r="J67" s="38"/>
    </row>
    <row r="68" spans="1:22" x14ac:dyDescent="0.25">
      <c r="A68" s="35"/>
      <c r="B68" s="37"/>
      <c r="C68" s="36"/>
      <c r="D68" s="36"/>
      <c r="E68" s="33"/>
      <c r="F68" s="36"/>
      <c r="G68" s="36"/>
      <c r="H68" s="36"/>
      <c r="J68" s="38"/>
    </row>
    <row r="69" spans="1:22" x14ac:dyDescent="0.25">
      <c r="A69" s="35"/>
      <c r="B69" s="37"/>
      <c r="C69" s="36"/>
      <c r="D69" s="36"/>
      <c r="E69" s="33"/>
      <c r="F69" s="36"/>
      <c r="G69" s="36"/>
      <c r="H69" s="36"/>
      <c r="J69" s="38"/>
      <c r="Q69" t="s">
        <v>144</v>
      </c>
      <c r="S69">
        <f>S59/S53*1.2</f>
        <v>242.65164838976855</v>
      </c>
      <c r="V69">
        <f>IF(str_width=coil_width, ((F14*((str_width+1.25)^3))/(384*mod*V52)), V58)</f>
        <v>1.5149050680995802E-4</v>
      </c>
    </row>
    <row r="70" spans="1:22" x14ac:dyDescent="0.25">
      <c r="A70" s="35"/>
      <c r="B70" s="37"/>
      <c r="C70" s="36"/>
      <c r="D70" s="36"/>
      <c r="E70" s="33"/>
      <c r="F70" s="36"/>
      <c r="G70" s="36"/>
      <c r="H70" s="36"/>
      <c r="J70" s="38"/>
    </row>
    <row r="71" spans="1:22" x14ac:dyDescent="0.25">
      <c r="A71" s="35"/>
      <c r="B71" s="37"/>
      <c r="C71" s="36"/>
      <c r="D71" s="36"/>
      <c r="E71" s="33"/>
      <c r="F71" s="36"/>
      <c r="G71" s="36"/>
      <c r="H71" s="36"/>
      <c r="J71" s="38"/>
    </row>
    <row r="72" spans="1:22" x14ac:dyDescent="0.25">
      <c r="A72" s="35"/>
      <c r="B72" s="37"/>
      <c r="C72" s="36"/>
      <c r="D72" s="36"/>
      <c r="E72" s="33"/>
      <c r="F72" s="36"/>
      <c r="G72" s="36"/>
      <c r="H72" s="36"/>
      <c r="J72" s="38"/>
    </row>
    <row r="73" spans="1:22" x14ac:dyDescent="0.25">
      <c r="A73" s="35"/>
      <c r="B73" s="37"/>
      <c r="C73" s="36"/>
      <c r="D73" s="36"/>
      <c r="E73" s="33"/>
      <c r="F73" s="36"/>
      <c r="G73" s="36"/>
      <c r="H73" s="36"/>
      <c r="J73" s="38"/>
    </row>
    <row r="74" spans="1:22" x14ac:dyDescent="0.25">
      <c r="A74" s="35"/>
      <c r="B74" s="37"/>
      <c r="C74" s="36"/>
      <c r="D74" s="36"/>
      <c r="E74" s="33"/>
      <c r="F74" s="36"/>
      <c r="G74" s="36"/>
      <c r="H74" s="36"/>
      <c r="I74" s="33"/>
    </row>
    <row r="75" spans="1:22" x14ac:dyDescent="0.25">
      <c r="A75" s="35"/>
      <c r="B75" s="37"/>
      <c r="C75" s="36"/>
      <c r="D75" s="36"/>
      <c r="E75" s="33"/>
      <c r="F75" s="36"/>
      <c r="G75" s="33"/>
      <c r="H75" s="33"/>
    </row>
    <row r="76" spans="1:22" x14ac:dyDescent="0.25">
      <c r="A76" s="35"/>
    </row>
    <row r="77" spans="1:22" x14ac:dyDescent="0.25">
      <c r="G77" s="33"/>
      <c r="H77" s="33"/>
    </row>
    <row r="88" spans="2:4" x14ac:dyDescent="0.25">
      <c r="B88"/>
    </row>
    <row r="89" spans="2:4" x14ac:dyDescent="0.25">
      <c r="B89" s="33"/>
    </row>
    <row r="90" spans="2:4" x14ac:dyDescent="0.25">
      <c r="B90" s="33"/>
      <c r="C90" s="33"/>
    </row>
    <row r="91" spans="2:4" x14ac:dyDescent="0.25">
      <c r="B91" s="33"/>
      <c r="C91" s="33"/>
      <c r="D91" s="33"/>
    </row>
    <row r="92" spans="2:4" x14ac:dyDescent="0.25">
      <c r="B92" s="33"/>
      <c r="C92" s="33"/>
      <c r="D92" s="33"/>
    </row>
    <row r="93" spans="2:4" x14ac:dyDescent="0.25">
      <c r="B93" s="33"/>
      <c r="C93" s="33"/>
      <c r="D93" s="33"/>
    </row>
    <row r="94" spans="2:4" x14ac:dyDescent="0.25">
      <c r="B94" s="33"/>
      <c r="C94" s="33"/>
      <c r="D94" s="33"/>
    </row>
  </sheetData>
  <sheetProtection algorithmName="SHA-512" hashValue="0JerHWLlPezy/a5qjgW3iaTyOx5279L1rRMuMb1ljdFpxeo4f48I/Jm1V0JWU8prB12tUCAEPYsulkE/A5fOXg==" saltValue="ps4Chl/ktzUMcyJJy8t23g==" spinCount="100000" sheet="1" objects="1" scenarios="1"/>
  <mergeCells count="6">
    <mergeCell ref="B4:F4"/>
    <mergeCell ref="B5:F5"/>
    <mergeCell ref="B6:F6"/>
    <mergeCell ref="E20:F20"/>
    <mergeCell ref="L60:M60"/>
    <mergeCell ref="B9:C9"/>
  </mergeCells>
  <conditionalFormatting sqref="B15">
    <cfRule type="cellIs" dxfId="173" priority="22" operator="greaterThan">
      <formula>$B$10</formula>
    </cfRule>
  </conditionalFormatting>
  <conditionalFormatting sqref="C52">
    <cfRule type="cellIs" dxfId="172" priority="20" operator="lessThanOrEqual">
      <formula>$B$16*0.05</formula>
    </cfRule>
    <cfRule type="cellIs" dxfId="171" priority="21" operator="greaterThan">
      <formula>$B$16*0.05</formula>
    </cfRule>
  </conditionalFormatting>
  <conditionalFormatting sqref="B10">
    <cfRule type="expression" dxfId="170" priority="15">
      <formula>IF(AND(B9="CPPS-406",B10=18),"","")</formula>
    </cfRule>
  </conditionalFormatting>
  <conditionalFormatting sqref="S7 F14">
    <cfRule type="cellIs" dxfId="169" priority="23" operator="greaterThan">
      <formula>$B$28</formula>
    </cfRule>
    <cfRule type="cellIs" dxfId="168" priority="24" operator="lessThanOrEqual">
      <formula>$B$28</formula>
    </cfRule>
  </conditionalFormatting>
  <conditionalFormatting sqref="G20">
    <cfRule type="expression" dxfId="167" priority="10">
      <formula>AND($B$20=7, $G$20&lt;=7.5)</formula>
    </cfRule>
    <cfRule type="cellIs" dxfId="166" priority="18" operator="lessThanOrEqual">
      <formula>$B$20</formula>
    </cfRule>
    <cfRule type="cellIs" dxfId="165" priority="19" operator="greaterThan">
      <formula>$B$20</formula>
    </cfRule>
  </conditionalFormatting>
  <conditionalFormatting sqref="C53">
    <cfRule type="cellIs" dxfId="164" priority="16" operator="greaterThan">
      <formula>32000</formula>
    </cfRule>
    <cfRule type="cellIs" dxfId="163" priority="17" operator="lessThanOrEqual">
      <formula>32000</formula>
    </cfRule>
  </conditionalFormatting>
  <conditionalFormatting sqref="F18">
    <cfRule type="cellIs" dxfId="162" priority="13" operator="greaterThan">
      <formula>$G$18</formula>
    </cfRule>
    <cfRule type="cellIs" dxfId="161" priority="14" operator="lessThanOrEqual">
      <formula>$G$18</formula>
    </cfRule>
  </conditionalFormatting>
  <conditionalFormatting sqref="F19">
    <cfRule type="cellIs" dxfId="160" priority="11" operator="greaterThan">
      <formula>$G$19</formula>
    </cfRule>
    <cfRule type="cellIs" dxfId="159" priority="12" operator="lessThanOrEqual">
      <formula>$G$19</formula>
    </cfRule>
  </conditionalFormatting>
  <conditionalFormatting sqref="I25">
    <cfRule type="cellIs" dxfId="158" priority="8" operator="notEqual">
      <formula>"OK"</formula>
    </cfRule>
    <cfRule type="cellIs" dxfId="157" priority="9" operator="equal">
      <formula>"OK"</formula>
    </cfRule>
  </conditionalFormatting>
  <conditionalFormatting sqref="I13">
    <cfRule type="cellIs" dxfId="156" priority="7" operator="notEqual">
      <formula>"JACK FORCE OK"</formula>
    </cfRule>
  </conditionalFormatting>
  <conditionalFormatting sqref="I18">
    <cfRule type="cellIs" dxfId="155" priority="6" operator="notEqual">
      <formula>"PINCH GEAR OK"</formula>
    </cfRule>
  </conditionalFormatting>
  <conditionalFormatting sqref="I19">
    <cfRule type="cellIs" dxfId="154" priority="5" operator="notEqual">
      <formula>"STR GEAR OK"</formula>
    </cfRule>
  </conditionalFormatting>
  <conditionalFormatting sqref="I22">
    <cfRule type="cellIs" dxfId="153" priority="4" operator="notEqual">
      <formula>"FPM SUFFICIENT"</formula>
    </cfRule>
  </conditionalFormatting>
  <conditionalFormatting sqref="I20">
    <cfRule type="cellIs" dxfId="152" priority="3" operator="notEqual">
      <formula>"HP SUFFICIENT"</formula>
    </cfRule>
  </conditionalFormatting>
  <conditionalFormatting sqref="I24">
    <cfRule type="cellIs" dxfId="151" priority="2" operator="notEqual">
      <formula>"OK"</formula>
    </cfRule>
  </conditionalFormatting>
  <conditionalFormatting sqref="I14">
    <cfRule type="cellIs" dxfId="150" priority="1" operator="notEqual">
      <formula>""</formula>
    </cfRule>
  </conditionalFormatting>
  <pageMargins left="0.7" right="0.25" top="0.75" bottom="0.5" header="0.3" footer="0.3"/>
  <pageSetup scale="9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9377" r:id="rId4" name="Spinner 1">
              <controlPr defaultSize="0" autoPict="0">
                <anchor moveWithCells="1" sizeWithCells="1">
                  <from>
                    <xdr:col>10</xdr:col>
                    <xdr:colOff>0</xdr:colOff>
                    <xdr:row>8</xdr:row>
                    <xdr:rowOff>0</xdr:rowOff>
                  </from>
                  <to>
                    <xdr:col>10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378" r:id="rId5" name="Button 2">
              <controlPr locked="0" defaultSize="0" print="0" autoFill="0" autoPict="0" macro="[0]!Get_Info_StrUtilityFPM">
                <anchor moveWithCells="1" sizeWithCells="1">
                  <from>
                    <xdr:col>10</xdr:col>
                    <xdr:colOff>142875</xdr:colOff>
                    <xdr:row>5</xdr:row>
                    <xdr:rowOff>0</xdr:rowOff>
                  </from>
                  <to>
                    <xdr:col>10</xdr:col>
                    <xdr:colOff>828675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379" r:id="rId6" name="Button 3">
              <controlPr locked="0" defaultSize="0" print="0" autoFill="0" autoPict="0" macro="[0]!Get_Info_StrUtilityHpFPM">
                <anchor moveWithCells="1" sizeWithCells="1">
                  <from>
                    <xdr:col>10</xdr:col>
                    <xdr:colOff>152400</xdr:colOff>
                    <xdr:row>6</xdr:row>
                    <xdr:rowOff>38100</xdr:rowOff>
                  </from>
                  <to>
                    <xdr:col>10</xdr:col>
                    <xdr:colOff>819150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380" r:id="rId7" name="Button 4">
              <controlPr defaultSize="0" print="0" autoFill="0" autoPict="0" macro="[0]!Tbl_Contents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190500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74042-A275-42D2-B160-4EF3A9CC74BD}">
  <sheetPr codeName="Sheet3">
    <tabColor rgb="FF66FF33"/>
    <pageSetUpPr fitToPage="1"/>
  </sheetPr>
  <dimension ref="A1:M88"/>
  <sheetViews>
    <sheetView zoomScale="75" zoomScaleNormal="75" workbookViewId="0">
      <selection activeCell="E11" sqref="E11"/>
    </sheetView>
  </sheetViews>
  <sheetFormatPr defaultRowHeight="15" x14ac:dyDescent="0.25"/>
  <cols>
    <col min="1" max="1" width="21.5703125" customWidth="1"/>
    <col min="2" max="2" width="15" customWidth="1"/>
    <col min="3" max="4" width="15.140625" customWidth="1"/>
    <col min="5" max="5" width="14.7109375" customWidth="1"/>
    <col min="6" max="6" width="13" customWidth="1"/>
    <col min="7" max="7" width="14.140625" customWidth="1"/>
    <col min="8" max="8" width="12.42578125" customWidth="1"/>
    <col min="9" max="9" width="14.140625" customWidth="1"/>
    <col min="10" max="10" width="12.7109375" customWidth="1"/>
    <col min="11" max="11" width="16.85546875" bestFit="1" customWidth="1"/>
  </cols>
  <sheetData>
    <row r="1" spans="1:9" ht="18.75" x14ac:dyDescent="0.3">
      <c r="A1" s="33"/>
      <c r="B1" s="42"/>
      <c r="C1" s="33"/>
      <c r="D1" s="33"/>
      <c r="E1" s="145" t="s">
        <v>0</v>
      </c>
      <c r="F1" s="33"/>
      <c r="G1" s="33"/>
      <c r="H1" s="33"/>
      <c r="I1" s="33"/>
    </row>
    <row r="2" spans="1:9" x14ac:dyDescent="0.25">
      <c r="A2" s="33"/>
      <c r="B2" s="42"/>
      <c r="C2" s="33"/>
      <c r="D2" s="33"/>
      <c r="E2" s="144" t="s">
        <v>367</v>
      </c>
      <c r="F2" s="33"/>
      <c r="G2" s="33"/>
      <c r="H2" s="33"/>
      <c r="I2" s="33"/>
    </row>
    <row r="3" spans="1:9" x14ac:dyDescent="0.25">
      <c r="A3" s="33"/>
      <c r="B3" s="33"/>
      <c r="C3" s="33"/>
      <c r="D3" s="33"/>
      <c r="E3" s="144"/>
      <c r="F3" s="33"/>
      <c r="G3" s="33"/>
      <c r="H3" s="33"/>
      <c r="I3" s="33"/>
    </row>
    <row r="4" spans="1:9" x14ac:dyDescent="0.25">
      <c r="A4" s="143" t="s">
        <v>1</v>
      </c>
      <c r="B4" s="997" t="str">
        <f>Customer</f>
        <v>ULTRATECH TOOL&amp; DESIGN, INC.</v>
      </c>
      <c r="C4" s="997"/>
      <c r="D4" s="997"/>
      <c r="E4" s="997"/>
      <c r="F4" s="997"/>
      <c r="G4" s="33"/>
      <c r="H4" s="33"/>
      <c r="I4" s="33"/>
    </row>
    <row r="5" spans="1:9" x14ac:dyDescent="0.25">
      <c r="A5" s="143" t="s">
        <v>2</v>
      </c>
      <c r="B5" s="998">
        <f>CalcDate</f>
        <v>0</v>
      </c>
      <c r="C5" s="997"/>
      <c r="D5" s="997"/>
      <c r="E5" s="997"/>
      <c r="F5" s="997"/>
      <c r="G5" s="33"/>
      <c r="H5" s="33"/>
      <c r="I5" s="33"/>
    </row>
    <row r="6" spans="1:9" x14ac:dyDescent="0.25">
      <c r="A6" s="143" t="s">
        <v>3</v>
      </c>
      <c r="B6" s="997">
        <f>Reference</f>
        <v>0</v>
      </c>
      <c r="C6" s="997"/>
      <c r="D6" s="997"/>
      <c r="E6" s="997"/>
      <c r="F6" s="997"/>
      <c r="G6" s="33"/>
      <c r="H6" s="33"/>
      <c r="I6" s="33"/>
    </row>
    <row r="8" spans="1:9" ht="16.5" customHeight="1" x14ac:dyDescent="0.25">
      <c r="A8" s="68"/>
      <c r="B8" s="123"/>
      <c r="C8" s="33"/>
      <c r="D8" s="123" t="s">
        <v>366</v>
      </c>
      <c r="E8" s="132">
        <v>-60</v>
      </c>
      <c r="F8" s="33" t="s">
        <v>365</v>
      </c>
      <c r="G8" s="33"/>
      <c r="H8" s="33"/>
      <c r="I8" s="33"/>
    </row>
    <row r="9" spans="1:9" x14ac:dyDescent="0.25">
      <c r="A9" s="142"/>
      <c r="B9" s="610"/>
      <c r="C9" s="33"/>
      <c r="D9" s="123" t="s">
        <v>364</v>
      </c>
      <c r="E9" s="132">
        <f>IF(ABS(1/$E$8)&gt;curv_at_yld, 1/((1/$E$8)-((ABS($E$8)/$E$8)*(1.5*(1-$F$32))*curv_at_yld*(1-((1/3)*(curv_at_yld/(1/$E$8))^2)))), IF($F$32=0, ABS($E$8)/$E$8*99999, $E$8/$F$32))</f>
        <v>-181.81818181818181</v>
      </c>
      <c r="F9" s="33" t="s">
        <v>363</v>
      </c>
      <c r="G9" s="33"/>
      <c r="H9" s="33"/>
      <c r="I9" s="33"/>
    </row>
    <row r="10" spans="1:9" ht="15.75" thickBot="1" x14ac:dyDescent="0.3">
      <c r="A10" s="33"/>
      <c r="B10" s="33"/>
      <c r="C10" s="33"/>
      <c r="D10" s="123" t="s">
        <v>362</v>
      </c>
      <c r="E10" s="138">
        <f>1/$E$9</f>
        <v>-5.5000000000000005E-3</v>
      </c>
      <c r="F10" s="33"/>
      <c r="G10" s="33"/>
      <c r="H10" s="33"/>
      <c r="I10" s="33"/>
    </row>
    <row r="11" spans="1:9" x14ac:dyDescent="0.25">
      <c r="A11" s="140" t="s">
        <v>361</v>
      </c>
      <c r="B11" s="451">
        <f>CoilWidth_1</f>
        <v>18</v>
      </c>
      <c r="C11" s="33" t="s">
        <v>336</v>
      </c>
      <c r="D11" s="123" t="s">
        <v>360</v>
      </c>
      <c r="E11" s="138">
        <f>2*yield/(thk*modulus)</f>
        <v>2.7586206896551724E-2</v>
      </c>
      <c r="F11" s="33"/>
      <c r="G11" s="33"/>
      <c r="H11" s="33"/>
      <c r="I11" s="33"/>
    </row>
    <row r="12" spans="1:9" x14ac:dyDescent="0.25">
      <c r="A12" s="135" t="s">
        <v>359</v>
      </c>
      <c r="B12" s="452">
        <f>Thickness_1</f>
        <v>0.25</v>
      </c>
      <c r="C12" s="36" t="s">
        <v>336</v>
      </c>
      <c r="D12" s="136" t="s">
        <v>358</v>
      </c>
      <c r="E12" s="132">
        <f>1/curv_at_yld</f>
        <v>36.25</v>
      </c>
      <c r="F12" s="33" t="s">
        <v>357</v>
      </c>
      <c r="G12" s="33"/>
      <c r="H12" s="33"/>
      <c r="I12" s="33"/>
    </row>
    <row r="13" spans="1:9" x14ac:dyDescent="0.25">
      <c r="A13" s="135" t="s">
        <v>356</v>
      </c>
      <c r="B13" s="453">
        <f>YieldStrength_1</f>
        <v>100000</v>
      </c>
      <c r="C13" s="130" t="s">
        <v>11</v>
      </c>
      <c r="D13" s="133" t="s">
        <v>355</v>
      </c>
      <c r="E13" s="132">
        <f>width*yield*(thk^2)/6</f>
        <v>18750</v>
      </c>
      <c r="F13" s="33" t="s">
        <v>354</v>
      </c>
      <c r="G13" s="33"/>
      <c r="H13" s="33"/>
      <c r="I13" s="33"/>
    </row>
    <row r="14" spans="1:9" ht="21.75" customHeight="1" x14ac:dyDescent="0.25">
      <c r="A14" s="131" t="s">
        <v>353</v>
      </c>
      <c r="B14" s="454" t="str">
        <f>Material_1</f>
        <v>HS Steel</v>
      </c>
      <c r="C14" s="130"/>
      <c r="D14" s="130"/>
      <c r="E14" s="129" t="str">
        <f>IF(E21&gt;0,"", "ROLLER TOO HIGH!")</f>
        <v/>
      </c>
      <c r="F14" s="33"/>
      <c r="G14" s="129" t="str">
        <f>IF(G21&gt;0,"", "ROLLER TOO HIGH!")</f>
        <v/>
      </c>
      <c r="H14" s="33"/>
      <c r="I14" s="129" t="str">
        <f>IF(I21&gt;0,"", "ROLLER TOO HIGH!")</f>
        <v/>
      </c>
    </row>
    <row r="15" spans="1:9" s="125" customFormat="1" ht="21.75" customHeight="1" thickBot="1" x14ac:dyDescent="0.25">
      <c r="A15" s="128" t="s">
        <v>352</v>
      </c>
      <c r="B15" s="454" t="str">
        <f>'Str. Utility (1)'!model</f>
        <v>CPPS-507</v>
      </c>
      <c r="C15" s="127"/>
      <c r="G15" s="126">
        <f>(E18+I18)/2</f>
        <v>2.1903273897455625E-2</v>
      </c>
    </row>
    <row r="16" spans="1:9" ht="15" customHeight="1" thickBot="1" x14ac:dyDescent="0.3">
      <c r="A16" s="68"/>
      <c r="B16" s="33"/>
      <c r="C16" s="36"/>
      <c r="D16" s="33"/>
      <c r="E16" s="124">
        <v>9843.8065477949112</v>
      </c>
      <c r="F16" s="33"/>
      <c r="G16" s="46"/>
      <c r="H16" s="33"/>
      <c r="I16" s="46"/>
    </row>
    <row r="17" spans="1:13" ht="15.75" thickBot="1" x14ac:dyDescent="0.3">
      <c r="A17" s="123"/>
      <c r="B17" s="33"/>
      <c r="C17" s="33"/>
      <c r="D17" s="122"/>
      <c r="E17" s="121" t="s">
        <v>351</v>
      </c>
      <c r="F17" s="119"/>
      <c r="G17" s="120" t="s">
        <v>350</v>
      </c>
      <c r="H17" s="119"/>
      <c r="I17" s="118" t="s">
        <v>349</v>
      </c>
      <c r="J17" s="33"/>
      <c r="K17" s="33"/>
      <c r="L17" s="33"/>
      <c r="M17" s="65"/>
    </row>
    <row r="18" spans="1:13" ht="21.75" customHeight="1" x14ac:dyDescent="0.25">
      <c r="A18" s="117" t="s">
        <v>348</v>
      </c>
      <c r="B18" s="116">
        <f>VLOOKUP($B$15,LookupStrModel,2,FALSE)</f>
        <v>5</v>
      </c>
      <c r="C18" s="71" t="s">
        <v>336</v>
      </c>
      <c r="D18" s="115" t="s">
        <v>347</v>
      </c>
      <c r="E18" s="114">
        <f>IF((E16-10000)/1000&lt;$B23, "TOO DEEP!", (E16-10000)/1000)</f>
        <v>-0.15619345220508876</v>
      </c>
      <c r="F18" s="112"/>
      <c r="G18" s="113">
        <f>E18+((I18-E18)/2)</f>
        <v>2.1903273897455638E-2</v>
      </c>
      <c r="H18" s="112"/>
      <c r="I18" s="111">
        <f>thk*0.8</f>
        <v>0.2</v>
      </c>
      <c r="J18" s="110">
        <f>10000+(I18*1000)</f>
        <v>10200</v>
      </c>
      <c r="K18" s="33"/>
      <c r="L18" s="33"/>
      <c r="M18" s="65"/>
    </row>
    <row r="19" spans="1:13" ht="25.5" x14ac:dyDescent="0.25">
      <c r="A19" s="102" t="s">
        <v>346</v>
      </c>
      <c r="B19" s="98">
        <f>VLOOKUP($B$15,LookupStrModel,3,FALSE)</f>
        <v>9</v>
      </c>
      <c r="C19" s="71" t="s">
        <v>336</v>
      </c>
      <c r="D19" s="85" t="s">
        <v>345</v>
      </c>
      <c r="E19" s="109">
        <f>(1.314-$D$32*thk+$D$33*E18)*((-0.25*cent_dist^2)-(E18^2)+(2*E18*thk)-thk^2)/(4*(E18+0.00000001)-4*thk)</f>
        <v>15.591501334396003</v>
      </c>
      <c r="F19" s="93">
        <f>-E19</f>
        <v>-15.591501334396003</v>
      </c>
      <c r="G19" s="93">
        <f>((-0.25*cent_dist^2)-($G$18^2)+(2*$G$18*thk)-thk^2)/(4*($G$18+0.00000001)-4*thk)</f>
        <v>22.251556777489522</v>
      </c>
      <c r="H19" s="93">
        <f>-G19</f>
        <v>-22.251556777489522</v>
      </c>
      <c r="I19" s="108">
        <f>(1.314-$D$32*thk+$D$33*I18)*((-0.25*cent_dist^2)-(I18^2)+(2*I18*thk)-thk^2)/(4*(I18+0.00000001)-4*thk)</f>
        <v>132.14758892951781</v>
      </c>
      <c r="J19" s="33"/>
      <c r="K19" s="33"/>
      <c r="L19" s="33"/>
      <c r="M19" s="33"/>
    </row>
    <row r="20" spans="1:13" ht="25.5" x14ac:dyDescent="0.25">
      <c r="A20" s="102" t="s">
        <v>344</v>
      </c>
      <c r="B20" s="107">
        <f>VLOOKUP($B$14, LookupMaterial,3, FALSE)</f>
        <v>29000000</v>
      </c>
      <c r="C20" s="71" t="s">
        <v>11</v>
      </c>
      <c r="D20" s="106" t="s">
        <v>343</v>
      </c>
      <c r="E20" s="105" t="s">
        <v>277</v>
      </c>
      <c r="F20" s="104" t="s">
        <v>278</v>
      </c>
      <c r="G20" s="104" t="s">
        <v>277</v>
      </c>
      <c r="H20" s="104" t="s">
        <v>278</v>
      </c>
      <c r="I20" s="103" t="s">
        <v>277</v>
      </c>
      <c r="J20" s="33"/>
      <c r="K20" s="33"/>
      <c r="L20" s="33"/>
      <c r="M20" s="33"/>
    </row>
    <row r="21" spans="1:13" ht="27.75" customHeight="1" x14ac:dyDescent="0.25">
      <c r="A21" s="102" t="s">
        <v>342</v>
      </c>
      <c r="B21" s="101">
        <f>VLOOKUP($B$15,LookupStrModel,5)</f>
        <v>60000</v>
      </c>
      <c r="C21" s="100" t="s">
        <v>341</v>
      </c>
      <c r="D21" s="85" t="s">
        <v>340</v>
      </c>
      <c r="E21" s="88">
        <f>1/E19-$E$10</f>
        <v>6.9637505334006949E-2</v>
      </c>
      <c r="F21" s="87">
        <f>1/F19-1/E28</f>
        <v>-8.9060210151547553E-2</v>
      </c>
      <c r="G21" s="87">
        <f>1/G19-1/F28</f>
        <v>6.9022232462145505E-2</v>
      </c>
      <c r="H21" s="87">
        <f>1/H19-1/G28</f>
        <v>-5.0705312578875374E-2</v>
      </c>
      <c r="I21" s="86">
        <f>1/I19-1/H28</f>
        <v>1.5211282880466227E-2</v>
      </c>
      <c r="J21" s="33"/>
      <c r="K21" s="33"/>
      <c r="L21" s="33"/>
      <c r="M21" s="33"/>
    </row>
    <row r="22" spans="1:13" ht="45" customHeight="1" x14ac:dyDescent="0.25">
      <c r="A22" s="99" t="s">
        <v>339</v>
      </c>
      <c r="B22" s="98">
        <f>VLOOKUP($B$15,LookupStrModel,6)</f>
        <v>-1.25</v>
      </c>
      <c r="C22" s="71" t="s">
        <v>336</v>
      </c>
      <c r="D22" s="97" t="s">
        <v>338</v>
      </c>
      <c r="E22" s="94">
        <f>IF(ABS(E21)&lt;curv_at_yld, (modulus*width*thk^3)/(12)*(E21), (ABS(E21)/E21)*1.5*My*(1-1/3*((curv_at_yld/E21)^2)))</f>
        <v>26653.80972603571</v>
      </c>
      <c r="F22" s="93">
        <f>IF(ABS(F21)&lt;curv_at_yld, (modulus*width*thk^3)/(12)*(F21), (ABS(F21)/F21)*1.5*My*(1-1/3*((curv_at_yld/F21)^2)))</f>
        <v>-27225.527637878404</v>
      </c>
      <c r="G22" s="93">
        <f>IF(ABS(G21)&lt;curv_at_yld, (modulus*width*thk^3)/(12)*(G21), (ABS(G21)/G21)*1.5*My*(1-1/3*((curv_at_yld/G21)^2)))</f>
        <v>26627.464072115821</v>
      </c>
      <c r="H22" s="93">
        <f>IF(ABS(H21)&lt;curv_at_yld, (modulus*width*thk^3)/(12)*(H21), (ABS(H21)/H21)*1.5*My*(1-1/3*((curv_at_yld/H21)^2)))</f>
        <v>-25350.093680700003</v>
      </c>
      <c r="I22" s="92">
        <f>IF(ABS(I21)&lt;curv_at_yld, (modulus*width*thk^3)/(12)*(I21), (ABS(I21)/I21)*1.5*My*(1-1/3*((curv_at_yld/I21)^2)))</f>
        <v>10338.918832816889</v>
      </c>
      <c r="J22" s="33"/>
      <c r="K22" s="33"/>
      <c r="L22" s="33"/>
      <c r="M22" s="33"/>
    </row>
    <row r="23" spans="1:13" ht="45" customHeight="1" thickBot="1" x14ac:dyDescent="0.3">
      <c r="A23" s="96" t="s">
        <v>337</v>
      </c>
      <c r="B23" s="95">
        <f>IF((B$18+thk)^2-(cent_dist/2)^2&lt;0, B22, IF(B$18-SQRT((B$18+thk)^2-(cent_dist/2)^2)&lt;-B22, -B$18+SQRT((B$18+thk)^2-(cent_dist/2)^2), B22))</f>
        <v>-1.25</v>
      </c>
      <c r="C23" s="71" t="s">
        <v>336</v>
      </c>
      <c r="D23" s="85" t="s">
        <v>335</v>
      </c>
      <c r="E23" s="88">
        <f>E22/My</f>
        <v>1.4215365187219045</v>
      </c>
      <c r="F23" s="87">
        <f>F22/My</f>
        <v>-1.4520281406868483</v>
      </c>
      <c r="G23" s="87">
        <f>G22/My</f>
        <v>1.4201314171795105</v>
      </c>
      <c r="H23" s="87">
        <f>H22/My</f>
        <v>-1.3520049963040002</v>
      </c>
      <c r="I23" s="86">
        <f>I22/My</f>
        <v>0.55140900441690077</v>
      </c>
      <c r="J23" s="33"/>
      <c r="K23" s="33"/>
      <c r="L23" s="33"/>
      <c r="M23" s="33"/>
    </row>
    <row r="24" spans="1:13" ht="45" customHeight="1" thickBot="1" x14ac:dyDescent="0.3">
      <c r="A24" s="72"/>
      <c r="B24" s="71"/>
      <c r="C24" s="71"/>
      <c r="D24" s="85" t="s">
        <v>334</v>
      </c>
      <c r="E24" s="94">
        <f>E22*5.333/cent_dist</f>
        <v>15793.863029883159</v>
      </c>
      <c r="F24" s="93"/>
      <c r="G24" s="93">
        <f>G22*5.333/cent_dist</f>
        <v>15778.251766288187</v>
      </c>
      <c r="H24" s="93"/>
      <c r="I24" s="92">
        <f>I22*5.3333/cent_dist</f>
        <v>6126.7284234513681</v>
      </c>
      <c r="J24" s="91" t="str">
        <f>IF(E24&gt;B21, "NOT ENOUGH FORCE!", IF(G24&gt;B21, "NOT ENOUGH FORCE!", IF(I24&gt;B21, "NOT ENOUGH FORCE!", "")))</f>
        <v/>
      </c>
      <c r="K24" s="33"/>
      <c r="L24" s="33"/>
      <c r="M24" s="33"/>
    </row>
    <row r="25" spans="1:13" ht="50.25" customHeight="1" x14ac:dyDescent="0.25">
      <c r="A25" s="90" t="s">
        <v>333</v>
      </c>
      <c r="B25" s="89">
        <f>-(1.5*rad_at_yld-thk-SQRT(ABS(((1.5*rad_at_yld)^2)-(cent_dist/2)^2)))</f>
        <v>6.3473174652187936E-2</v>
      </c>
      <c r="C25" s="81" t="str">
        <f>IF(B25&gt;B23, "OK", "WILL NOT STRAIGHTEN")</f>
        <v>OK</v>
      </c>
      <c r="D25" s="85" t="s">
        <v>332</v>
      </c>
      <c r="E25" s="88">
        <f>-curv_at_yld*E23</f>
        <v>-3.9214800516466329E-2</v>
      </c>
      <c r="F25" s="87">
        <f>-curv_at_yld*F23</f>
        <v>4.0055948708602712E-2</v>
      </c>
      <c r="G25" s="87">
        <f>-curv_at_yld*G23</f>
        <v>-3.9176039094607186E-2</v>
      </c>
      <c r="H25" s="87">
        <f>-curv_at_yld*H23</f>
        <v>3.7296689553213795E-2</v>
      </c>
      <c r="I25" s="86">
        <f>-curv_at_yld*I23</f>
        <v>-1.5211282880466227E-2</v>
      </c>
      <c r="J25" s="33"/>
      <c r="K25" s="33"/>
      <c r="L25" s="33"/>
      <c r="M25" s="33"/>
    </row>
    <row r="26" spans="1:13" ht="51.75" customHeight="1" x14ac:dyDescent="0.25">
      <c r="A26" s="626" t="s">
        <v>331</v>
      </c>
      <c r="B26" s="627">
        <f>(16*yield*width*thk^2)/(15*cent_dist)</f>
        <v>13333.333333333334</v>
      </c>
      <c r="C26" s="81" t="str">
        <f>IF(B26&lt;B21, "OK", "NOT ENOUGH FORCE")</f>
        <v>OK</v>
      </c>
      <c r="D26" s="85" t="s">
        <v>330</v>
      </c>
      <c r="E26" s="84">
        <f>IF(curv_at_yld&lt;ABS(E21),1-ABS(curv_at_yld/E21), "NONE")</f>
        <v>0.60385992053796034</v>
      </c>
      <c r="F26" s="83">
        <f>IF(curv_at_yld&lt;ABS(F21),1-ABS(curv_at_yld/F21), "NONE")</f>
        <v>0.69025216929524191</v>
      </c>
      <c r="G26" s="83">
        <f>IF(curv_at_yld&lt;ABS(G21),1-ABS(curv_at_yld/G21), "NONE")</f>
        <v>0.60032867798529876</v>
      </c>
      <c r="H26" s="83">
        <f>IF(curv_at_yld&lt;ABS(H21),1-ABS(curv_at_yld/H21), "NONE")</f>
        <v>0.45595036311748194</v>
      </c>
      <c r="I26" s="82" t="str">
        <f>IF(curv_at_yld&lt;ABS(I21),1-ABS(curv_at_yld/I21), "NONE")</f>
        <v>NONE</v>
      </c>
      <c r="J26" s="33"/>
      <c r="K26" s="33"/>
      <c r="L26" s="33"/>
      <c r="M26" s="33"/>
    </row>
    <row r="27" spans="1:13" ht="51.75" customHeight="1" thickBot="1" x14ac:dyDescent="0.3">
      <c r="A27" s="624" t="s">
        <v>1119</v>
      </c>
      <c r="B27" s="688" t="str">
        <f>IF(AND(E26&gt;=BackbendMin, E26&lt;=BackbendMax), IF(AND(E26 &lt;= BackbendConfirm, B28=FALSE), BackbendNCText, BackbendOKText), BackbendNOText)</f>
        <v>OK</v>
      </c>
      <c r="C27" s="81"/>
      <c r="D27" s="80" t="s">
        <v>329</v>
      </c>
      <c r="E27" s="79">
        <f>IF(E26&lt;&gt;"NONE",1/(1-E26),"")</f>
        <v>2.524359568357752</v>
      </c>
      <c r="F27" s="78"/>
      <c r="G27" s="78">
        <f>IF(G26&lt;&gt;"NONE",1/(1-G26),"")</f>
        <v>2.5020559267527749</v>
      </c>
      <c r="H27" s="78"/>
      <c r="I27" s="77" t="str">
        <f>IF(I26&lt;&gt;"NONE",1/(1-I26),"")</f>
        <v/>
      </c>
      <c r="J27" s="33"/>
      <c r="K27" s="33"/>
      <c r="L27" s="33"/>
      <c r="M27" s="33"/>
    </row>
    <row r="28" spans="1:13" ht="51.75" customHeight="1" thickBot="1" x14ac:dyDescent="0.3">
      <c r="A28" s="72"/>
      <c r="B28" s="689" t="b">
        <v>0</v>
      </c>
      <c r="C28" s="71"/>
      <c r="D28" s="76" t="s">
        <v>328</v>
      </c>
      <c r="E28" s="75">
        <f>1/((1/E19)+E25)</f>
        <v>40.124055848713475</v>
      </c>
      <c r="F28" s="74">
        <f>1/((1/F19)+F25)</f>
        <v>-41.525554828340091</v>
      </c>
      <c r="G28" s="74">
        <f>1/((1/G19)+G25)</f>
        <v>173.47146832183489</v>
      </c>
      <c r="H28" s="74">
        <f>1/((1/H19)+H25)</f>
        <v>-130.82179414096595</v>
      </c>
      <c r="I28" s="73">
        <f>IF(ABS((1/I19)+I25)&lt;0.00001, "FLAT", 1/((1/I19)+I25))</f>
        <v>-130.82179414096595</v>
      </c>
      <c r="J28" s="33"/>
      <c r="K28" s="33"/>
      <c r="L28" s="33"/>
      <c r="M28" s="33"/>
    </row>
    <row r="29" spans="1:13" ht="18" customHeight="1" x14ac:dyDescent="0.25">
      <c r="A29" s="72"/>
      <c r="B29" s="71"/>
      <c r="C29" s="71"/>
      <c r="D29" s="70"/>
      <c r="E29" s="69"/>
      <c r="F29" s="69"/>
      <c r="G29" s="69"/>
      <c r="H29" s="69"/>
      <c r="I29" s="69"/>
      <c r="J29" s="33"/>
      <c r="K29" s="33"/>
      <c r="L29" s="33"/>
      <c r="M29" s="33"/>
    </row>
    <row r="30" spans="1:13" x14ac:dyDescent="0.25">
      <c r="A30" s="33"/>
      <c r="B30" s="33"/>
      <c r="C30" s="33"/>
      <c r="D30" s="33"/>
      <c r="E30" s="33"/>
      <c r="F30" s="33"/>
      <c r="G30" s="33"/>
      <c r="H30" s="33"/>
      <c r="I30" s="33"/>
      <c r="J30" s="33"/>
      <c r="K30" s="33"/>
      <c r="L30" s="33"/>
      <c r="M30" s="33"/>
    </row>
    <row r="31" spans="1:13" x14ac:dyDescent="0.25">
      <c r="A31" s="33"/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3"/>
      <c r="M31" s="33"/>
    </row>
    <row r="32" spans="1:13" hidden="1" x14ac:dyDescent="0.25">
      <c r="A32" s="46"/>
      <c r="B32" s="46"/>
      <c r="C32" s="46" t="s">
        <v>169</v>
      </c>
      <c r="D32" s="37">
        <f>VLOOKUP($B$15,LookupStrModel,7,FALSE)</f>
        <v>0.18</v>
      </c>
      <c r="E32" s="68" t="s">
        <v>327</v>
      </c>
      <c r="F32" s="67">
        <v>0.33</v>
      </c>
      <c r="G32" s="33">
        <f>E19/H33</f>
        <v>1.070974850279891</v>
      </c>
      <c r="H32" s="33" t="s">
        <v>326</v>
      </c>
      <c r="I32" s="33" t="s">
        <v>293</v>
      </c>
      <c r="J32" s="33" t="s">
        <v>292</v>
      </c>
      <c r="K32" s="33" t="s">
        <v>291</v>
      </c>
      <c r="L32" s="33"/>
      <c r="M32" s="33"/>
    </row>
    <row r="33" spans="1:13" hidden="1" x14ac:dyDescent="0.25">
      <c r="A33" s="46"/>
      <c r="B33" s="46"/>
      <c r="C33" s="46" t="s">
        <v>166</v>
      </c>
      <c r="D33" s="37">
        <f>VLOOKUP($B$15,LookupStrModel,8,FALSE)</f>
        <v>0.18</v>
      </c>
      <c r="E33" s="33"/>
      <c r="F33" s="33"/>
      <c r="G33" s="33"/>
      <c r="H33" s="65">
        <f>rad_at_yld/2.49</f>
        <v>14.558232931726906</v>
      </c>
      <c r="I33" s="65">
        <f>H33-(SQRT(((H33+(thk/4))^2)-((cent_dist/4)^2)))</f>
        <v>0.11166477659457108</v>
      </c>
      <c r="J33" s="65">
        <f>ABS(I33)*-2 * 1.07</f>
        <v>-0.23896262191238213</v>
      </c>
      <c r="K33" s="65">
        <f>10000+(L41*1000)</f>
        <v>9843.8065477949112</v>
      </c>
      <c r="L33" s="33">
        <f>10000+(B22*1000)</f>
        <v>8750</v>
      </c>
      <c r="M33" s="33">
        <f>IF(K33&gt;L33,K33,L33)</f>
        <v>9843.8065477949112</v>
      </c>
    </row>
    <row r="34" spans="1:13" hidden="1" x14ac:dyDescent="0.25">
      <c r="A34" s="46"/>
      <c r="B34" s="46"/>
      <c r="C34" s="33"/>
      <c r="D34" s="33"/>
      <c r="E34" s="33"/>
      <c r="F34" s="33"/>
      <c r="G34" s="33"/>
      <c r="H34" s="33"/>
      <c r="I34" s="65">
        <f>H33-(SQRT(((H33+(thk/4))*((H33+(thk/4)))-(((cent_dist/4)*(cent_dist/4))))))</f>
        <v>0.11166477659457108</v>
      </c>
      <c r="J34" s="33"/>
      <c r="K34" s="33"/>
      <c r="L34" s="33"/>
      <c r="M34" s="33"/>
    </row>
    <row r="35" spans="1:13" hidden="1" x14ac:dyDescent="0.25">
      <c r="A35" s="46"/>
      <c r="B35" s="46"/>
      <c r="C35" s="33"/>
      <c r="D35" s="33"/>
      <c r="E35" s="33"/>
      <c r="F35" s="33"/>
      <c r="G35" s="33"/>
      <c r="H35" s="33"/>
      <c r="I35" s="65">
        <f>(SQRT(((H33+(thk/4))*((H33+(thk/4)))-(((cent_dist/4)*(cent_dist/4))))))</f>
        <v>14.446568155132335</v>
      </c>
      <c r="J35" s="65">
        <f>I35-H33</f>
        <v>-0.11166477659457108</v>
      </c>
      <c r="K35" s="33"/>
      <c r="L35" s="33"/>
      <c r="M35" s="33"/>
    </row>
    <row r="36" spans="1:13" hidden="1" x14ac:dyDescent="0.25">
      <c r="A36" s="46"/>
      <c r="B36" s="46"/>
      <c r="C36" s="33"/>
      <c r="D36" s="33"/>
      <c r="E36" s="33"/>
      <c r="F36" s="33"/>
      <c r="G36" s="33"/>
      <c r="H36" s="33"/>
      <c r="I36" s="33">
        <v>4</v>
      </c>
      <c r="J36" s="33">
        <v>8</v>
      </c>
      <c r="K36" s="33">
        <v>2</v>
      </c>
      <c r="L36" s="33">
        <v>3</v>
      </c>
      <c r="M36" s="33"/>
    </row>
    <row r="37" spans="1:13" hidden="1" x14ac:dyDescent="0.25">
      <c r="A37" s="46"/>
      <c r="B37" s="46"/>
      <c r="C37" s="33"/>
      <c r="D37" s="33"/>
      <c r="E37" s="33"/>
      <c r="F37" s="33"/>
      <c r="G37" s="33"/>
      <c r="H37" s="33" t="s">
        <v>276</v>
      </c>
      <c r="I37" s="65">
        <f>SQRT(((I39)^2)-((I38)^2))</f>
        <v>14.383311374451218</v>
      </c>
      <c r="J37" s="65">
        <f>SQRT(((J39)^2)-((J38)^2))</f>
        <v>14.514700172391359</v>
      </c>
      <c r="K37" s="65">
        <f>SQRT(((K39)^2)-((K38)^2))</f>
        <v>13.845293283077025</v>
      </c>
      <c r="L37" s="65">
        <f>SQRT(((L39)^2)-((L38)^2))</f>
        <v>14.245776430030684</v>
      </c>
      <c r="M37" s="33"/>
    </row>
    <row r="38" spans="1:13" hidden="1" x14ac:dyDescent="0.25">
      <c r="A38" s="33"/>
      <c r="B38" s="46"/>
      <c r="C38" s="33"/>
      <c r="D38" s="33"/>
      <c r="E38" s="33"/>
      <c r="F38" s="33"/>
      <c r="G38" s="33"/>
      <c r="H38" s="33" t="s">
        <v>271</v>
      </c>
      <c r="I38" s="65">
        <f>cent_dist/4</f>
        <v>2.25</v>
      </c>
      <c r="J38" s="65">
        <f>cent_dist/8</f>
        <v>1.125</v>
      </c>
      <c r="K38" s="65">
        <f>cent_dist/2</f>
        <v>4.5</v>
      </c>
      <c r="L38" s="65">
        <f>cent_dist/3</f>
        <v>3</v>
      </c>
      <c r="M38" s="33"/>
    </row>
    <row r="39" spans="1:13" hidden="1" x14ac:dyDescent="0.25">
      <c r="A39" s="33"/>
      <c r="B39" s="46"/>
      <c r="C39" s="33"/>
      <c r="D39" s="33"/>
      <c r="E39" s="33"/>
      <c r="F39" s="33"/>
      <c r="G39" s="33"/>
      <c r="H39" s="33" t="s">
        <v>325</v>
      </c>
      <c r="I39" s="65">
        <f>H33</f>
        <v>14.558232931726906</v>
      </c>
      <c r="J39" s="65">
        <f>H33</f>
        <v>14.558232931726906</v>
      </c>
      <c r="K39" s="65">
        <f>H33</f>
        <v>14.558232931726906</v>
      </c>
      <c r="L39" s="65">
        <f>H33</f>
        <v>14.558232931726906</v>
      </c>
      <c r="M39" s="33"/>
    </row>
    <row r="40" spans="1:13" hidden="1" x14ac:dyDescent="0.25">
      <c r="A40" s="33"/>
      <c r="B40" s="46"/>
      <c r="C40" s="33"/>
      <c r="D40" s="33"/>
      <c r="E40" s="33"/>
      <c r="F40" s="33"/>
      <c r="G40" s="33"/>
      <c r="H40" s="33" t="s">
        <v>324</v>
      </c>
      <c r="I40" s="65">
        <f>(I39-I37) *2</f>
        <v>0.34984311455137629</v>
      </c>
      <c r="J40" s="65">
        <f>(J39-J37) *4</f>
        <v>0.17413103734218538</v>
      </c>
      <c r="K40" s="65">
        <f>(K39-K37) *1</f>
        <v>0.71293964864988091</v>
      </c>
      <c r="L40" s="65">
        <f>(L39-L37) *1.3</f>
        <v>0.40619345220508801</v>
      </c>
      <c r="M40" s="33"/>
    </row>
    <row r="41" spans="1:13" hidden="1" x14ac:dyDescent="0.25">
      <c r="A41" s="33"/>
      <c r="B41" s="46"/>
      <c r="C41" s="33"/>
      <c r="D41" s="33"/>
      <c r="E41" s="33"/>
      <c r="F41" s="33"/>
      <c r="G41" s="33"/>
      <c r="H41" s="33" t="s">
        <v>263</v>
      </c>
      <c r="I41" s="65">
        <f>thk-I40</f>
        <v>-9.9843114551376289E-2</v>
      </c>
      <c r="J41" s="65">
        <f>thk-J40</f>
        <v>7.586896265781462E-2</v>
      </c>
      <c r="K41" s="65">
        <f>thk-K40</f>
        <v>-0.46293964864988091</v>
      </c>
      <c r="L41" s="65">
        <f>thk-L40</f>
        <v>-0.15619345220508801</v>
      </c>
      <c r="M41" s="33"/>
    </row>
    <row r="42" spans="1:13" hidden="1" x14ac:dyDescent="0.25">
      <c r="A42" s="33"/>
      <c r="B42" s="46"/>
      <c r="C42" s="33"/>
      <c r="D42" s="33"/>
      <c r="E42" s="33"/>
      <c r="F42" s="33"/>
      <c r="G42" s="33"/>
      <c r="H42" s="66">
        <f>E19</f>
        <v>15.591501334396003</v>
      </c>
      <c r="I42" s="65">
        <f>H42-(SQRT(((H42+(thk/4))^2)-((cent_dist/4)^2)))</f>
        <v>0.10004376006582483</v>
      </c>
      <c r="J42" s="65">
        <f>ABS(I42)*-2</f>
        <v>-0.20008752013164965</v>
      </c>
      <c r="K42" s="33"/>
      <c r="L42" s="33"/>
      <c r="M42" s="33"/>
    </row>
    <row r="43" spans="1:13" hidden="1" x14ac:dyDescent="0.25">
      <c r="A43" s="33"/>
      <c r="B43" s="46"/>
      <c r="C43" s="33"/>
      <c r="D43" s="33"/>
      <c r="E43" s="33"/>
      <c r="F43" s="33"/>
      <c r="G43" s="33"/>
      <c r="H43" s="33"/>
      <c r="I43" s="33"/>
      <c r="J43" s="65">
        <f>E18/J42</f>
        <v>0.780625658723341</v>
      </c>
      <c r="K43" s="33"/>
      <c r="L43" s="33"/>
      <c r="M43" s="33"/>
    </row>
    <row r="44" spans="1:13" hidden="1" x14ac:dyDescent="0.25">
      <c r="A44" s="33"/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 t="s">
        <v>323</v>
      </c>
      <c r="M44" s="33"/>
    </row>
    <row r="45" spans="1:13" hidden="1" x14ac:dyDescent="0.25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 t="s">
        <v>322</v>
      </c>
      <c r="M45" s="33"/>
    </row>
    <row r="46" spans="1:13" hidden="1" x14ac:dyDescent="0.25">
      <c r="A46" s="33"/>
      <c r="B46" s="46"/>
      <c r="C46" s="33"/>
      <c r="D46" s="33"/>
      <c r="E46" s="33"/>
      <c r="F46" s="33"/>
      <c r="G46" s="33"/>
      <c r="H46" s="33"/>
      <c r="I46" s="33"/>
      <c r="J46" s="33"/>
      <c r="K46" s="33"/>
      <c r="L46" s="33" t="s">
        <v>321</v>
      </c>
      <c r="M46" s="33"/>
    </row>
    <row r="47" spans="1:13" hidden="1" x14ac:dyDescent="0.25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 t="s">
        <v>320</v>
      </c>
      <c r="M47" s="33"/>
    </row>
    <row r="48" spans="1:13" hidden="1" x14ac:dyDescent="0.25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 t="s">
        <v>319</v>
      </c>
      <c r="M48" s="33"/>
    </row>
    <row r="49" spans="1:7" hidden="1" x14ac:dyDescent="0.25">
      <c r="A49" s="33"/>
      <c r="B49" s="33"/>
      <c r="C49" s="33"/>
      <c r="D49" s="33"/>
      <c r="E49" s="33"/>
      <c r="F49" s="33"/>
      <c r="G49" s="33"/>
    </row>
    <row r="50" spans="1:7" x14ac:dyDescent="0.25">
      <c r="A50" s="33"/>
      <c r="B50" s="33"/>
      <c r="C50" s="33"/>
      <c r="D50" s="33"/>
      <c r="E50" s="33"/>
      <c r="F50" s="33"/>
      <c r="G50" s="33"/>
    </row>
    <row r="51" spans="1:7" x14ac:dyDescent="0.25">
      <c r="A51" s="33"/>
      <c r="B51" s="33"/>
      <c r="C51" s="33"/>
      <c r="D51" s="33"/>
      <c r="E51" s="33"/>
      <c r="F51" s="33"/>
      <c r="G51" s="33"/>
    </row>
    <row r="52" spans="1:7" x14ac:dyDescent="0.25">
      <c r="A52" s="33"/>
      <c r="B52" s="33"/>
      <c r="C52" s="33"/>
      <c r="D52" s="33"/>
      <c r="E52" s="33"/>
      <c r="F52" s="33"/>
      <c r="G52" s="33"/>
    </row>
    <row r="53" spans="1:7" x14ac:dyDescent="0.25">
      <c r="A53" s="33"/>
      <c r="B53" s="33"/>
      <c r="C53" s="33"/>
      <c r="D53" s="33"/>
      <c r="E53" s="33"/>
      <c r="F53" s="33"/>
      <c r="G53" s="33"/>
    </row>
    <row r="54" spans="1:7" x14ac:dyDescent="0.25">
      <c r="A54" s="33"/>
      <c r="B54" s="33"/>
      <c r="C54" s="33"/>
      <c r="D54" s="33"/>
      <c r="E54" s="33"/>
      <c r="F54" s="33"/>
      <c r="G54" s="33"/>
    </row>
    <row r="55" spans="1:7" x14ac:dyDescent="0.25">
      <c r="A55" s="33"/>
      <c r="B55" s="33"/>
      <c r="C55" s="33"/>
      <c r="D55" s="33"/>
      <c r="E55" s="33"/>
      <c r="F55" s="33"/>
      <c r="G55" s="33"/>
    </row>
    <row r="56" spans="1:7" x14ac:dyDescent="0.25">
      <c r="A56" s="33"/>
      <c r="B56" s="33"/>
      <c r="C56" s="33"/>
      <c r="D56" s="33"/>
      <c r="E56" s="33"/>
      <c r="F56" s="33"/>
      <c r="G56" s="33"/>
    </row>
    <row r="57" spans="1:7" x14ac:dyDescent="0.25">
      <c r="A57" s="35"/>
      <c r="B57" s="36"/>
      <c r="C57" s="36"/>
      <c r="D57" s="33"/>
      <c r="E57" s="36"/>
      <c r="F57" s="36"/>
      <c r="G57" s="33"/>
    </row>
    <row r="58" spans="1:7" x14ac:dyDescent="0.25">
      <c r="A58" s="35"/>
      <c r="B58" s="36"/>
      <c r="C58" s="36"/>
      <c r="D58" s="33"/>
      <c r="E58" s="36"/>
      <c r="F58" s="36"/>
      <c r="G58" s="36"/>
    </row>
    <row r="59" spans="1:7" x14ac:dyDescent="0.25">
      <c r="A59" s="35"/>
      <c r="B59" s="36"/>
      <c r="C59" s="36"/>
      <c r="D59" s="33"/>
      <c r="E59" s="36"/>
      <c r="F59" s="36"/>
      <c r="G59" s="36"/>
    </row>
    <row r="60" spans="1:7" x14ac:dyDescent="0.25">
      <c r="A60" s="35"/>
      <c r="B60" s="36"/>
      <c r="C60" s="36"/>
      <c r="D60" s="33"/>
      <c r="E60" s="36"/>
      <c r="F60" s="36"/>
      <c r="G60" s="36"/>
    </row>
    <row r="61" spans="1:7" x14ac:dyDescent="0.25">
      <c r="A61" s="35"/>
      <c r="B61" s="36"/>
      <c r="C61" s="36"/>
      <c r="D61" s="33"/>
      <c r="E61" s="36"/>
      <c r="F61" s="36"/>
      <c r="G61" s="36"/>
    </row>
    <row r="62" spans="1:7" x14ac:dyDescent="0.25">
      <c r="A62" s="35"/>
      <c r="B62" s="36"/>
      <c r="C62" s="36"/>
      <c r="D62" s="33"/>
      <c r="E62" s="36"/>
      <c r="F62" s="36"/>
      <c r="G62" s="36"/>
    </row>
    <row r="63" spans="1:7" x14ac:dyDescent="0.25">
      <c r="A63" s="35"/>
      <c r="B63" s="36"/>
      <c r="C63" s="36"/>
      <c r="D63" s="33"/>
      <c r="E63" s="36"/>
      <c r="F63" s="36"/>
      <c r="G63" s="36"/>
    </row>
    <row r="64" spans="1:7" x14ac:dyDescent="0.25">
      <c r="A64" s="35"/>
      <c r="B64" s="36"/>
      <c r="C64" s="36"/>
      <c r="D64" s="33"/>
      <c r="E64" s="36"/>
      <c r="F64" s="33"/>
      <c r="G64" s="33"/>
    </row>
    <row r="65" spans="1:7" x14ac:dyDescent="0.25">
      <c r="A65" s="35"/>
      <c r="B65" s="36"/>
      <c r="C65" s="36"/>
      <c r="D65" s="33"/>
      <c r="E65" s="36"/>
      <c r="F65" s="36"/>
      <c r="G65" s="36"/>
    </row>
    <row r="66" spans="1:7" x14ac:dyDescent="0.25">
      <c r="A66" s="33"/>
      <c r="B66" s="33"/>
      <c r="C66" s="33"/>
      <c r="D66" s="33"/>
      <c r="E66" s="33"/>
      <c r="F66" s="33"/>
      <c r="G66" s="33"/>
    </row>
    <row r="67" spans="1:7" x14ac:dyDescent="0.25">
      <c r="A67" s="33"/>
      <c r="B67" s="33"/>
      <c r="C67" s="33"/>
      <c r="D67" s="33"/>
      <c r="E67" s="33"/>
      <c r="F67" s="33"/>
      <c r="G67" s="33"/>
    </row>
    <row r="68" spans="1:7" x14ac:dyDescent="0.25">
      <c r="A68" s="33"/>
      <c r="B68" s="33"/>
      <c r="C68" s="33"/>
      <c r="D68" s="33"/>
      <c r="E68" s="33"/>
      <c r="F68" s="33"/>
      <c r="G68" s="33"/>
    </row>
    <row r="69" spans="1:7" x14ac:dyDescent="0.25">
      <c r="A69" s="33"/>
      <c r="B69" s="33"/>
      <c r="C69" s="33"/>
      <c r="D69" s="33"/>
      <c r="E69" s="33"/>
      <c r="F69" s="33"/>
      <c r="G69" s="33"/>
    </row>
    <row r="70" spans="1:7" x14ac:dyDescent="0.25">
      <c r="A70" s="33"/>
      <c r="B70" s="33"/>
      <c r="C70" s="33"/>
      <c r="D70" s="33"/>
      <c r="E70" s="33"/>
      <c r="F70" s="33"/>
      <c r="G70" s="33"/>
    </row>
    <row r="71" spans="1:7" x14ac:dyDescent="0.25">
      <c r="A71" s="33"/>
      <c r="B71" s="33"/>
      <c r="C71" s="33"/>
      <c r="D71" s="33"/>
      <c r="E71" s="33"/>
      <c r="F71" s="33"/>
      <c r="G71" s="33"/>
    </row>
    <row r="72" spans="1:7" x14ac:dyDescent="0.25">
      <c r="A72" s="33"/>
      <c r="B72" s="33"/>
      <c r="C72" s="33"/>
      <c r="D72" s="33"/>
      <c r="E72" s="33"/>
      <c r="F72" s="33"/>
      <c r="G72" s="33"/>
    </row>
    <row r="73" spans="1:7" x14ac:dyDescent="0.25">
      <c r="A73" s="33"/>
      <c r="B73" s="33"/>
      <c r="C73" s="33"/>
      <c r="D73" s="33"/>
      <c r="E73" s="33"/>
      <c r="F73" s="33"/>
      <c r="G73" s="33"/>
    </row>
    <row r="74" spans="1:7" x14ac:dyDescent="0.25">
      <c r="A74" s="33"/>
      <c r="B74" s="33"/>
      <c r="C74" s="33"/>
      <c r="D74" s="33"/>
      <c r="E74" s="33"/>
      <c r="F74" s="33"/>
      <c r="G74" s="33"/>
    </row>
    <row r="75" spans="1:7" x14ac:dyDescent="0.25">
      <c r="A75" s="33"/>
      <c r="B75" s="33"/>
      <c r="C75" s="33"/>
      <c r="D75" s="33"/>
      <c r="E75" s="33"/>
      <c r="F75" s="33"/>
      <c r="G75" s="33"/>
    </row>
    <row r="76" spans="1:7" x14ac:dyDescent="0.25">
      <c r="A76" s="33"/>
      <c r="B76" s="33"/>
      <c r="C76" s="33"/>
      <c r="D76" s="33"/>
      <c r="E76" s="33"/>
      <c r="F76" s="33"/>
      <c r="G76" s="33"/>
    </row>
    <row r="77" spans="1:7" x14ac:dyDescent="0.25">
      <c r="A77" s="33"/>
      <c r="B77" s="33"/>
      <c r="C77" s="33"/>
      <c r="D77" s="33"/>
      <c r="E77" s="33"/>
      <c r="F77" s="33"/>
      <c r="G77" s="33"/>
    </row>
    <row r="78" spans="1:7" x14ac:dyDescent="0.25">
      <c r="A78" s="33"/>
      <c r="B78" s="33"/>
      <c r="C78" s="33"/>
      <c r="D78" s="33"/>
      <c r="E78" s="33"/>
      <c r="F78" s="33"/>
      <c r="G78" s="33"/>
    </row>
    <row r="79" spans="1:7" x14ac:dyDescent="0.25">
      <c r="A79" s="33"/>
      <c r="B79" s="33"/>
      <c r="C79" s="33"/>
      <c r="D79" s="33"/>
      <c r="E79" s="33"/>
      <c r="F79" s="33"/>
      <c r="G79" s="33"/>
    </row>
    <row r="80" spans="1:7" x14ac:dyDescent="0.25">
      <c r="A80" s="33"/>
      <c r="B80" s="33"/>
      <c r="C80" s="33"/>
      <c r="D80" s="33"/>
      <c r="E80" s="33"/>
      <c r="F80" s="33"/>
      <c r="G80" s="33"/>
    </row>
    <row r="81" spans="1:7" x14ac:dyDescent="0.25">
      <c r="A81" s="35"/>
      <c r="B81" s="36"/>
      <c r="C81" s="36"/>
      <c r="D81" s="33"/>
      <c r="E81" s="36"/>
      <c r="F81" s="36"/>
      <c r="G81" s="36"/>
    </row>
    <row r="82" spans="1:7" x14ac:dyDescent="0.25">
      <c r="A82" s="35"/>
      <c r="B82" s="36"/>
      <c r="C82" s="36"/>
      <c r="D82" s="33"/>
      <c r="E82" s="36"/>
      <c r="F82" s="36"/>
      <c r="G82" s="36"/>
    </row>
    <row r="83" spans="1:7" x14ac:dyDescent="0.25">
      <c r="A83" s="35"/>
      <c r="B83" s="36"/>
      <c r="C83" s="36"/>
      <c r="D83" s="33"/>
      <c r="E83" s="36"/>
      <c r="F83" s="36"/>
      <c r="G83" s="36"/>
    </row>
    <row r="84" spans="1:7" x14ac:dyDescent="0.25">
      <c r="A84" s="35"/>
      <c r="B84" s="36"/>
      <c r="C84" s="36"/>
      <c r="D84" s="33"/>
      <c r="E84" s="36"/>
      <c r="F84" s="36"/>
      <c r="G84" s="36"/>
    </row>
    <row r="85" spans="1:7" x14ac:dyDescent="0.25">
      <c r="A85" s="35"/>
      <c r="B85" s="36"/>
      <c r="C85" s="36"/>
      <c r="D85" s="33"/>
      <c r="E85" s="36"/>
      <c r="F85" s="36"/>
      <c r="G85" s="36"/>
    </row>
    <row r="86" spans="1:7" x14ac:dyDescent="0.25">
      <c r="A86" s="35"/>
      <c r="B86" s="36"/>
      <c r="C86" s="36"/>
      <c r="D86" s="33"/>
      <c r="E86" s="36"/>
      <c r="F86" s="36"/>
      <c r="G86" s="36"/>
    </row>
    <row r="87" spans="1:7" x14ac:dyDescent="0.25">
      <c r="A87" s="33"/>
      <c r="B87" s="33"/>
      <c r="C87" s="33"/>
      <c r="D87" s="33"/>
      <c r="E87" s="33"/>
      <c r="F87" s="33"/>
      <c r="G87" s="33"/>
    </row>
    <row r="88" spans="1:7" x14ac:dyDescent="0.25">
      <c r="A88" s="33"/>
      <c r="B88" s="33"/>
      <c r="C88" s="33"/>
      <c r="D88" s="33"/>
      <c r="E88" s="33"/>
      <c r="F88" s="33"/>
      <c r="G88" s="33"/>
    </row>
  </sheetData>
  <sheetProtection algorithmName="SHA-512" hashValue="Bxt+ATwtiwsen32IG/C/YYyc8BtYTjktR/3lUTEUrjbji6DmZ6WL/9hXgVWac16iXzBfZjNlXfaUrlczREN37w==" saltValue="AwKnFxAs5lEVT06yRVXZvg==" spinCount="100000" sheet="1" objects="1" scenarios="1"/>
  <mergeCells count="3">
    <mergeCell ref="B4:F4"/>
    <mergeCell ref="B5:F5"/>
    <mergeCell ref="B6:F6"/>
  </mergeCells>
  <conditionalFormatting sqref="E26">
    <cfRule type="cellIs" dxfId="149" priority="9" stopIfTrue="1" operator="lessThan">
      <formula>47%</formula>
    </cfRule>
    <cfRule type="cellIs" dxfId="148" priority="10" stopIfTrue="1" operator="greaterThan">
      <formula>70%</formula>
    </cfRule>
    <cfRule type="cellIs" dxfId="147" priority="11" stopIfTrue="1" operator="between">
      <formula>47%</formula>
      <formula>70%</formula>
    </cfRule>
  </conditionalFormatting>
  <conditionalFormatting sqref="E24 G24 I24">
    <cfRule type="cellIs" dxfId="146" priority="4" stopIfTrue="1" operator="greaterThan">
      <formula>$B$21</formula>
    </cfRule>
  </conditionalFormatting>
  <conditionalFormatting sqref="J24">
    <cfRule type="cellIs" dxfId="145" priority="3" stopIfTrue="1" operator="equal">
      <formula>"NOT ENOUGH FORCE!"</formula>
    </cfRule>
  </conditionalFormatting>
  <conditionalFormatting sqref="E14 G14 I14">
    <cfRule type="cellIs" dxfId="144" priority="2" operator="equal">
      <formula>"ROLLER TOO HIGH!"</formula>
    </cfRule>
  </conditionalFormatting>
  <conditionalFormatting sqref="E18 G18 I18">
    <cfRule type="cellIs" dxfId="143" priority="1" operator="notBetween">
      <formula>$B$23</formula>
      <formula>1.25*thk</formula>
    </cfRule>
  </conditionalFormatting>
  <dataValidations disablePrompts="1" count="1">
    <dataValidation errorTitle="Roller Depth too great" error="You have engaged the rollers too far." sqref="G18 E18 I18" xr:uid="{C3DE0513-F40D-4FF1-AD91-E1891AA55FBD}"/>
  </dataValidations>
  <pageMargins left="0.75" right="0.75" top="1" bottom="1" header="0.5" footer="0.5"/>
  <pageSetup scale="67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316" r:id="rId4" name="CommandButton1">
          <controlPr defaultSize="0" autoLine="0" r:id="rId5">
            <anchor moveWithCells="1">
              <from>
                <xdr:col>3</xdr:col>
                <xdr:colOff>0</xdr:colOff>
                <xdr:row>13</xdr:row>
                <xdr:rowOff>266700</xdr:rowOff>
              </from>
              <to>
                <xdr:col>3</xdr:col>
                <xdr:colOff>628650</xdr:colOff>
                <xdr:row>15</xdr:row>
                <xdr:rowOff>9525</xdr:rowOff>
              </to>
            </anchor>
          </controlPr>
        </control>
      </mc:Choice>
      <mc:Fallback>
        <control shapeId="13316" r:id="rId4" name="CommandButton1"/>
      </mc:Fallback>
    </mc:AlternateContent>
    <mc:AlternateContent xmlns:mc="http://schemas.openxmlformats.org/markup-compatibility/2006">
      <mc:Choice Requires="x14">
        <control shapeId="13313" r:id="rId6" name="Spinner 1">
          <controlPr defaultSize="0" autoPict="0">
            <anchor>
              <from>
                <xdr:col>4</xdr:col>
                <xdr:colOff>9525</xdr:colOff>
                <xdr:row>14</xdr:row>
                <xdr:rowOff>9525</xdr:rowOff>
              </from>
              <to>
                <xdr:col>4</xdr:col>
                <xdr:colOff>962025</xdr:colOff>
                <xdr:row>15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24" r:id="rId7" name="Button 12">
          <controlPr defaultSize="0" print="0" autoFill="0" autoPict="0" macro="[0]!Tbl_Contents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333375</xdr:colOff>
                <xdr:row>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25" r:id="rId8" name="Check Box 13">
          <controlPr defaultSize="0" autoFill="0" autoLine="0" autoPict="0" altText="Confirmed">
            <anchor moveWithCells="1">
              <from>
                <xdr:col>1</xdr:col>
                <xdr:colOff>104775</xdr:colOff>
                <xdr:row>27</xdr:row>
                <xdr:rowOff>180975</xdr:rowOff>
              </from>
              <to>
                <xdr:col>1</xdr:col>
                <xdr:colOff>847725</xdr:colOff>
                <xdr:row>27</xdr:row>
                <xdr:rowOff>495300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34" r:id="rId9" name="Button 22">
          <controlPr defaultSize="0" print="0" autoFill="0" autoPict="0" macro="[0]!JumpToFeed">
            <anchor moveWithCells="1" sizeWithCells="1">
              <from>
                <xdr:col>9</xdr:col>
                <xdr:colOff>152400</xdr:colOff>
                <xdr:row>19</xdr:row>
                <xdr:rowOff>161925</xdr:rowOff>
              </from>
              <to>
                <xdr:col>10</xdr:col>
                <xdr:colOff>619125</xdr:colOff>
                <xdr:row>20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35" r:id="rId10" name="Button 23">
          <controlPr defaultSize="0" print="0" autoFill="0" autoPict="0" macro="[0]!JumpToTDDBHD">
            <anchor moveWithCells="1" sizeWithCells="1">
              <from>
                <xdr:col>9</xdr:col>
                <xdr:colOff>152400</xdr:colOff>
                <xdr:row>18</xdr:row>
                <xdr:rowOff>95250</xdr:rowOff>
              </from>
              <to>
                <xdr:col>10</xdr:col>
                <xdr:colOff>619125</xdr:colOff>
                <xdr:row>18</xdr:row>
                <xdr:rowOff>276225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36" r:id="rId11" name="Button 24">
          <controlPr defaultSize="0" print="0" autoFill="0" autoPict="0" macro="[0]!JumpToStrUtility">
            <anchor moveWithCells="1" sizeWithCells="1">
              <from>
                <xdr:col>9</xdr:col>
                <xdr:colOff>142875</xdr:colOff>
                <xdr:row>18</xdr:row>
                <xdr:rowOff>295275</xdr:rowOff>
              </from>
              <to>
                <xdr:col>10</xdr:col>
                <xdr:colOff>619125</xdr:colOff>
                <xdr:row>19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37" r:id="rId12" name="Button 25">
          <controlPr defaultSize="0" print="0" autoFill="0" autoPict="0" macro="[0]!JumpToEquipmentSummary">
            <anchor moveWithCells="1" sizeWithCells="1">
              <from>
                <xdr:col>9</xdr:col>
                <xdr:colOff>142875</xdr:colOff>
                <xdr:row>17</xdr:row>
                <xdr:rowOff>180975</xdr:rowOff>
              </from>
              <to>
                <xdr:col>10</xdr:col>
                <xdr:colOff>619125</xdr:colOff>
                <xdr:row>18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38" r:id="rId13" name="Button 26">
          <controlPr defaultSize="0" print="0" autoFill="0" autoPict="0" macro="[0]!JumpToRFQ">
            <anchor moveWithCells="1" sizeWithCells="1">
              <from>
                <xdr:col>9</xdr:col>
                <xdr:colOff>142875</xdr:colOff>
                <xdr:row>15</xdr:row>
                <xdr:rowOff>180975</xdr:rowOff>
              </from>
              <to>
                <xdr:col>10</xdr:col>
                <xdr:colOff>619125</xdr:colOff>
                <xdr:row>16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39" r:id="rId14" name="Button 27">
          <controlPr defaultSize="0" print="0" autoFill="0" autoPict="0" macro="[0]!JumpToMaterialSpecs">
            <anchor moveWithCells="1" sizeWithCells="1">
              <from>
                <xdr:col>9</xdr:col>
                <xdr:colOff>142875</xdr:colOff>
                <xdr:row>16</xdr:row>
                <xdr:rowOff>180975</xdr:rowOff>
              </from>
              <to>
                <xdr:col>10</xdr:col>
                <xdr:colOff>619125</xdr:colOff>
                <xdr:row>17</xdr:row>
                <xdr:rowOff>171450</xdr:rowOff>
              </to>
            </anchor>
          </controlPr>
        </control>
      </mc:Choice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1A298A-19EA-4EB8-A5AE-4C11EBD28703}">
  <sheetPr codeName="Sheet9">
    <tabColor rgb="FF66FF33"/>
    <pageSetUpPr fitToPage="1"/>
  </sheetPr>
  <dimension ref="A1:M88"/>
  <sheetViews>
    <sheetView zoomScale="75" zoomScaleNormal="75" workbookViewId="0">
      <selection activeCell="B28" sqref="B28"/>
    </sheetView>
  </sheetViews>
  <sheetFormatPr defaultRowHeight="15" x14ac:dyDescent="0.25"/>
  <cols>
    <col min="1" max="1" width="21.5703125" customWidth="1"/>
    <col min="2" max="2" width="15" customWidth="1"/>
    <col min="3" max="4" width="15.140625" customWidth="1"/>
    <col min="5" max="5" width="14.7109375" customWidth="1"/>
    <col min="6" max="6" width="13" customWidth="1"/>
    <col min="7" max="7" width="14.140625" customWidth="1"/>
    <col min="8" max="8" width="12.42578125" customWidth="1"/>
    <col min="9" max="9" width="14.140625" customWidth="1"/>
    <col min="10" max="10" width="12.7109375" customWidth="1"/>
    <col min="11" max="11" width="16.85546875" bestFit="1" customWidth="1"/>
  </cols>
  <sheetData>
    <row r="1" spans="1:9" ht="18.75" x14ac:dyDescent="0.3">
      <c r="A1" s="33"/>
      <c r="B1" s="42"/>
      <c r="C1" s="33"/>
      <c r="D1" s="33"/>
      <c r="E1" s="145" t="s">
        <v>0</v>
      </c>
      <c r="F1" s="33"/>
      <c r="G1" s="33"/>
      <c r="H1" s="33"/>
      <c r="I1" s="33"/>
    </row>
    <row r="2" spans="1:9" x14ac:dyDescent="0.25">
      <c r="A2" s="33"/>
      <c r="B2" s="42"/>
      <c r="C2" s="33"/>
      <c r="D2" s="33"/>
      <c r="E2" s="144" t="s">
        <v>367</v>
      </c>
      <c r="F2" s="33"/>
      <c r="G2" s="33"/>
      <c r="H2" s="33"/>
      <c r="I2" s="33"/>
    </row>
    <row r="3" spans="1:9" x14ac:dyDescent="0.25">
      <c r="A3" s="33"/>
      <c r="B3" s="33"/>
      <c r="C3" s="33"/>
      <c r="D3" s="33"/>
      <c r="E3" s="144"/>
      <c r="F3" s="33"/>
      <c r="G3" s="33"/>
      <c r="H3" s="33"/>
      <c r="I3" s="33"/>
    </row>
    <row r="4" spans="1:9" x14ac:dyDescent="0.25">
      <c r="A4" s="143" t="s">
        <v>1</v>
      </c>
      <c r="B4" s="997" t="str">
        <f>Customer</f>
        <v>ULTRATECH TOOL&amp; DESIGN, INC.</v>
      </c>
      <c r="C4" s="997"/>
      <c r="D4" s="997"/>
      <c r="E4" s="997"/>
      <c r="F4" s="997"/>
      <c r="G4" s="33"/>
      <c r="H4" s="33"/>
      <c r="I4" s="33"/>
    </row>
    <row r="5" spans="1:9" x14ac:dyDescent="0.25">
      <c r="A5" s="143" t="s">
        <v>2</v>
      </c>
      <c r="B5" s="998">
        <f>CalcDate</f>
        <v>0</v>
      </c>
      <c r="C5" s="997"/>
      <c r="D5" s="997"/>
      <c r="E5" s="997"/>
      <c r="F5" s="997"/>
      <c r="G5" s="33"/>
      <c r="H5" s="33"/>
      <c r="I5" s="33"/>
    </row>
    <row r="6" spans="1:9" x14ac:dyDescent="0.25">
      <c r="A6" s="143" t="s">
        <v>3</v>
      </c>
      <c r="B6" s="997">
        <f>Reference</f>
        <v>0</v>
      </c>
      <c r="C6" s="997"/>
      <c r="D6" s="997"/>
      <c r="E6" s="997"/>
      <c r="F6" s="997"/>
      <c r="G6" s="33"/>
      <c r="H6" s="33"/>
      <c r="I6" s="33"/>
    </row>
    <row r="8" spans="1:9" ht="16.5" customHeight="1" x14ac:dyDescent="0.25">
      <c r="A8" s="68"/>
      <c r="B8" s="123"/>
      <c r="C8" s="33"/>
      <c r="D8" s="123" t="s">
        <v>366</v>
      </c>
      <c r="E8" s="132">
        <v>-60</v>
      </c>
      <c r="F8" s="33" t="s">
        <v>365</v>
      </c>
      <c r="G8" s="33"/>
      <c r="H8" s="33"/>
      <c r="I8" s="33"/>
    </row>
    <row r="9" spans="1:9" x14ac:dyDescent="0.25">
      <c r="A9" s="142"/>
      <c r="B9" s="610"/>
      <c r="C9" s="33"/>
      <c r="D9" s="123" t="s">
        <v>364</v>
      </c>
      <c r="E9" s="132">
        <f>IF(ABS(1/$E$8)&gt;curv_at_yld, 1/((1/$E$8)-((ABS($E$8)/$E$8)*(1.5*(1-$F$32))*curv_at_yld*(1-((1/3)*(curv_at_yld/(1/$E$8))^2)))), IF($F$32=0, ABS($E$8)/$E$8*99999, $E$8/$F$32))</f>
        <v>-181.81818181818181</v>
      </c>
      <c r="F9" s="33" t="s">
        <v>363</v>
      </c>
      <c r="G9" s="33"/>
      <c r="H9" s="33"/>
      <c r="I9" s="33"/>
    </row>
    <row r="10" spans="1:9" ht="15.75" thickBot="1" x14ac:dyDescent="0.3">
      <c r="A10" s="33"/>
      <c r="B10" s="33"/>
      <c r="C10" s="33"/>
      <c r="D10" s="123" t="s">
        <v>362</v>
      </c>
      <c r="E10" s="138">
        <f>1/$E$9</f>
        <v>-5.5000000000000005E-3</v>
      </c>
      <c r="F10" s="33"/>
      <c r="G10" s="33"/>
      <c r="H10" s="33"/>
      <c r="I10" s="33"/>
    </row>
    <row r="11" spans="1:9" x14ac:dyDescent="0.25">
      <c r="A11" s="140" t="s">
        <v>361</v>
      </c>
      <c r="B11" s="451">
        <f>CoilWidth_2</f>
        <v>16</v>
      </c>
      <c r="C11" s="33" t="s">
        <v>336</v>
      </c>
      <c r="D11" s="123" t="s">
        <v>360</v>
      </c>
      <c r="E11" s="138">
        <f>2*yield/(thk*modulus)</f>
        <v>2.2988505747126436E-2</v>
      </c>
      <c r="F11" s="33"/>
      <c r="G11" s="33"/>
      <c r="H11" s="33"/>
      <c r="I11" s="33"/>
    </row>
    <row r="12" spans="1:9" x14ac:dyDescent="0.25">
      <c r="A12" s="135" t="s">
        <v>359</v>
      </c>
      <c r="B12" s="452">
        <f>Thickness_2</f>
        <v>0.3</v>
      </c>
      <c r="C12" s="36" t="s">
        <v>336</v>
      </c>
      <c r="D12" s="136" t="s">
        <v>358</v>
      </c>
      <c r="E12" s="132">
        <f>1/curv_at_yld</f>
        <v>43.5</v>
      </c>
      <c r="F12" s="33" t="s">
        <v>357</v>
      </c>
      <c r="G12" s="33"/>
      <c r="H12" s="33"/>
      <c r="I12" s="33"/>
    </row>
    <row r="13" spans="1:9" x14ac:dyDescent="0.25">
      <c r="A13" s="135" t="s">
        <v>356</v>
      </c>
      <c r="B13" s="453">
        <f>YieldStrength_2</f>
        <v>100000</v>
      </c>
      <c r="C13" s="130" t="s">
        <v>11</v>
      </c>
      <c r="D13" s="133" t="s">
        <v>355</v>
      </c>
      <c r="E13" s="132">
        <f>width*yield*(thk^2)/6</f>
        <v>24000</v>
      </c>
      <c r="F13" s="33" t="s">
        <v>354</v>
      </c>
      <c r="G13" s="33"/>
      <c r="H13" s="33"/>
      <c r="I13" s="33"/>
    </row>
    <row r="14" spans="1:9" ht="21.75" customHeight="1" x14ac:dyDescent="0.25">
      <c r="A14" s="131" t="s">
        <v>353</v>
      </c>
      <c r="B14" s="455" t="str">
        <f>Material_2</f>
        <v>HS Steel</v>
      </c>
      <c r="C14" s="130"/>
      <c r="D14" s="130"/>
      <c r="E14" s="129" t="str">
        <f>IF(E21&gt;0,"", "ROLLER TOO HIGH!")</f>
        <v/>
      </c>
      <c r="F14" s="33"/>
      <c r="G14" s="129" t="str">
        <f>IF(G21&gt;0,"", "ROLLER TOO HIGH!")</f>
        <v/>
      </c>
      <c r="H14" s="33"/>
      <c r="I14" s="129" t="str">
        <f>IF(I21&gt;0,"", "ROLLER TOO HIGH!")</f>
        <v/>
      </c>
    </row>
    <row r="15" spans="1:9" s="125" customFormat="1" ht="21.75" customHeight="1" thickBot="1" x14ac:dyDescent="0.25">
      <c r="A15" s="128" t="s">
        <v>352</v>
      </c>
      <c r="B15" s="455" t="str">
        <f>'Str. Utility (2)'!model</f>
        <v>CPPS-507</v>
      </c>
      <c r="C15" s="127"/>
      <c r="G15" s="126">
        <f>(E18+I18)/2</f>
        <v>0.10131607203880502</v>
      </c>
    </row>
    <row r="16" spans="1:9" ht="15" customHeight="1" thickBot="1" x14ac:dyDescent="0.3">
      <c r="A16" s="68"/>
      <c r="B16" s="33"/>
      <c r="C16" s="36"/>
      <c r="D16" s="33"/>
      <c r="E16" s="124">
        <v>9962.6321440776101</v>
      </c>
      <c r="F16" s="33"/>
      <c r="G16" s="46"/>
      <c r="H16" s="33"/>
      <c r="I16" s="46"/>
    </row>
    <row r="17" spans="1:13" ht="15.75" thickBot="1" x14ac:dyDescent="0.3">
      <c r="A17" s="123"/>
      <c r="B17" s="33"/>
      <c r="C17" s="33"/>
      <c r="D17" s="122"/>
      <c r="E17" s="121" t="s">
        <v>351</v>
      </c>
      <c r="F17" s="119"/>
      <c r="G17" s="120" t="s">
        <v>350</v>
      </c>
      <c r="H17" s="119"/>
      <c r="I17" s="118" t="s">
        <v>349</v>
      </c>
      <c r="J17" s="33"/>
      <c r="K17" s="33"/>
      <c r="L17" s="33"/>
      <c r="M17" s="65"/>
    </row>
    <row r="18" spans="1:13" ht="21.75" customHeight="1" x14ac:dyDescent="0.25">
      <c r="A18" s="117" t="s">
        <v>348</v>
      </c>
      <c r="B18" s="116">
        <f>VLOOKUP($B$15,LookupStrModel,2,FALSE)</f>
        <v>5</v>
      </c>
      <c r="C18" s="71" t="s">
        <v>336</v>
      </c>
      <c r="D18" s="115" t="s">
        <v>347</v>
      </c>
      <c r="E18" s="114">
        <f>IF((E16-10000)/1000&lt;$B23, "TOO DEEP!", (E16-10000)/1000)</f>
        <v>-3.7367855922389934E-2</v>
      </c>
      <c r="F18" s="112"/>
      <c r="G18" s="113">
        <f>E18+((I18-E18)/2)</f>
        <v>0.10131607203880504</v>
      </c>
      <c r="H18" s="112"/>
      <c r="I18" s="111">
        <f>thk*0.8</f>
        <v>0.24</v>
      </c>
      <c r="J18" s="110">
        <f>10000+(I18*1000)</f>
        <v>10240</v>
      </c>
      <c r="K18" s="33"/>
      <c r="L18" s="33"/>
      <c r="M18" s="65"/>
    </row>
    <row r="19" spans="1:13" ht="25.5" x14ac:dyDescent="0.25">
      <c r="A19" s="102" t="s">
        <v>346</v>
      </c>
      <c r="B19" s="98">
        <f>VLOOKUP($B$15,LookupStrModel,3,FALSE)</f>
        <v>9</v>
      </c>
      <c r="C19" s="71" t="s">
        <v>336</v>
      </c>
      <c r="D19" s="85" t="s">
        <v>345</v>
      </c>
      <c r="E19" s="109">
        <f>(1.314-$D$32*thk+$D$33*E18)*((-0.25*cent_dist^2)-(E18^2)+(2*E18*thk)-thk^2)/(4*(E18+0.00000001)-4*thk)</f>
        <v>18.912174369989881</v>
      </c>
      <c r="F19" s="93">
        <f>-E19</f>
        <v>-18.912174369989881</v>
      </c>
      <c r="G19" s="93">
        <f>((-0.25*cent_dist^2)-($G$18^2)+(2*$G$18*thk)-thk^2)/(4*($G$18+0.00000001)-4*thk)</f>
        <v>25.529840954707812</v>
      </c>
      <c r="H19" s="93">
        <f>-G19</f>
        <v>-25.529840954707812</v>
      </c>
      <c r="I19" s="108">
        <f>(1.314-$D$32*thk+$D$33*I18)*((-0.25*cent_dist^2)-(I18^2)+(2*I18*thk)-thk^2)/(4*(I18+0.00000001)-4*thk)</f>
        <v>109.97706632951106</v>
      </c>
      <c r="J19" s="33"/>
      <c r="K19" s="33"/>
      <c r="L19" s="33"/>
      <c r="M19" s="33"/>
    </row>
    <row r="20" spans="1:13" ht="25.5" x14ac:dyDescent="0.25">
      <c r="A20" s="102" t="s">
        <v>344</v>
      </c>
      <c r="B20" s="107">
        <f>VLOOKUP($B$14,LookupMaterial,3, FALSE)</f>
        <v>29000000</v>
      </c>
      <c r="C20" s="71" t="s">
        <v>11</v>
      </c>
      <c r="D20" s="106" t="s">
        <v>343</v>
      </c>
      <c r="E20" s="105" t="s">
        <v>277</v>
      </c>
      <c r="F20" s="104" t="s">
        <v>278</v>
      </c>
      <c r="G20" s="104" t="s">
        <v>277</v>
      </c>
      <c r="H20" s="104" t="s">
        <v>278</v>
      </c>
      <c r="I20" s="103" t="s">
        <v>277</v>
      </c>
      <c r="J20" s="33"/>
      <c r="K20" s="33"/>
      <c r="L20" s="33"/>
      <c r="M20" s="33"/>
    </row>
    <row r="21" spans="1:13" ht="27.75" customHeight="1" x14ac:dyDescent="0.25">
      <c r="A21" s="102" t="s">
        <v>342</v>
      </c>
      <c r="B21" s="101">
        <f>VLOOKUP($B$15,LookupStrModel,5)</f>
        <v>60000</v>
      </c>
      <c r="C21" s="100" t="s">
        <v>341</v>
      </c>
      <c r="D21" s="85" t="s">
        <v>340</v>
      </c>
      <c r="E21" s="88">
        <f>1/E19-$E$10</f>
        <v>5.8375993021025377E-2</v>
      </c>
      <c r="F21" s="87">
        <f>1/F19-1/E28</f>
        <v>-7.3051744381882694E-2</v>
      </c>
      <c r="G21" s="87">
        <f>1/G19-1/F28</f>
        <v>5.8701341697931515E-2</v>
      </c>
      <c r="H21" s="87">
        <f>1/H19-1/G28</f>
        <v>-4.5619750918989121E-2</v>
      </c>
      <c r="I21" s="86">
        <f>1/I19-1/H28</f>
        <v>1.6698641363073839E-2</v>
      </c>
      <c r="J21" s="33"/>
      <c r="K21" s="33"/>
      <c r="L21" s="33"/>
      <c r="M21" s="33"/>
    </row>
    <row r="22" spans="1:13" ht="45" customHeight="1" x14ac:dyDescent="0.25">
      <c r="A22" s="99" t="s">
        <v>339</v>
      </c>
      <c r="B22" s="98">
        <f>VLOOKUP($B$15,LookupStrModel,6)</f>
        <v>-1.25</v>
      </c>
      <c r="C22" s="71" t="s">
        <v>336</v>
      </c>
      <c r="D22" s="97" t="s">
        <v>338</v>
      </c>
      <c r="E22" s="94">
        <f>IF(ABS(E21)&lt;curv_at_yld, (modulus*width*thk^3)/(12)*(E21), (ABS(E21)/E21)*1.5*My*(1-1/3*((curv_at_yld/E21)^2)))</f>
        <v>34139.052293215464</v>
      </c>
      <c r="F22" s="93">
        <f>IF(ABS(F21)&lt;curv_at_yld, (modulus*width*thk^3)/(12)*(F21), (ABS(F21)/F21)*1.5*My*(1-1/3*((curv_at_yld/F21)^2)))</f>
        <v>-34811.65771614368</v>
      </c>
      <c r="G22" s="93">
        <f>IF(ABS(G21)&lt;curv_at_yld, (modulus*width*thk^3)/(12)*(G21), (ABS(G21)/G21)*1.5*My*(1-1/3*((curv_at_yld/G21)^2)))</f>
        <v>34159.623510242724</v>
      </c>
      <c r="H22" s="93">
        <f>IF(ABS(H21)&lt;curv_at_yld, (modulus*width*thk^3)/(12)*(H21), (ABS(H21)/H21)*1.5*My*(1-1/3*((curv_at_yld/H21)^2)))</f>
        <v>-32952.828395156976</v>
      </c>
      <c r="I22" s="92">
        <f>IF(ABS(I21)&lt;curv_at_yld, (modulus*width*thk^3)/(12)*(I21), (ABS(I21)/I21)*1.5*My*(1-1/3*((curv_at_yld/I21)^2)))</f>
        <v>17433.381583049086</v>
      </c>
      <c r="J22" s="33"/>
      <c r="K22" s="33"/>
      <c r="L22" s="33"/>
      <c r="M22" s="33"/>
    </row>
    <row r="23" spans="1:13" ht="45" customHeight="1" thickBot="1" x14ac:dyDescent="0.3">
      <c r="A23" s="96" t="s">
        <v>337</v>
      </c>
      <c r="B23" s="95">
        <f>IF((B$18+thk)^2-(cent_dist/2)^2&lt;0, B22, IF(B$18-SQRT((B$18+thk)^2-(cent_dist/2)^2)&lt;-B22, -B$18+SQRT((B$18+thk)^2-(cent_dist/2)^2), B22))</f>
        <v>-1.25</v>
      </c>
      <c r="C23" s="71" t="s">
        <v>336</v>
      </c>
      <c r="D23" s="85" t="s">
        <v>335</v>
      </c>
      <c r="E23" s="88">
        <f>E22/My</f>
        <v>1.4224605122173111</v>
      </c>
      <c r="F23" s="87">
        <f>F22/My</f>
        <v>-1.4504857381726532</v>
      </c>
      <c r="G23" s="87">
        <f>G22/My</f>
        <v>1.4233176462601136</v>
      </c>
      <c r="H23" s="87">
        <f>H22/My</f>
        <v>-1.3730345164648741</v>
      </c>
      <c r="I23" s="86">
        <f>I22/My</f>
        <v>0.72639089929371192</v>
      </c>
      <c r="J23" s="33"/>
      <c r="K23" s="33"/>
      <c r="L23" s="33"/>
      <c r="M23" s="33"/>
    </row>
    <row r="24" spans="1:13" ht="45" customHeight="1" thickBot="1" x14ac:dyDescent="0.3">
      <c r="A24" s="72"/>
      <c r="B24" s="71"/>
      <c r="C24" s="71"/>
      <c r="D24" s="85" t="s">
        <v>334</v>
      </c>
      <c r="E24" s="94">
        <f>E22*5.333/cent_dist</f>
        <v>20229.285097746455</v>
      </c>
      <c r="F24" s="93"/>
      <c r="G24" s="93">
        <f>G22*5.333/cent_dist</f>
        <v>20241.474686680493</v>
      </c>
      <c r="H24" s="93"/>
      <c r="I24" s="92">
        <f>I22*5.3333/cent_dist</f>
        <v>10330.828221875077</v>
      </c>
      <c r="J24" s="91" t="str">
        <f>IF(E24&gt;B21, "NOT ENOUGH FORCE!", IF(G24&gt;B21, "NOT ENOUGH FORCE!", IF(I24&gt;B21, "NOT ENOUGH FORCE!", "")))</f>
        <v/>
      </c>
      <c r="K24" s="33"/>
      <c r="L24" s="33"/>
      <c r="M24" s="33"/>
    </row>
    <row r="25" spans="1:13" ht="50.25" customHeight="1" x14ac:dyDescent="0.25">
      <c r="A25" s="90" t="s">
        <v>333</v>
      </c>
      <c r="B25" s="89">
        <f>-(1.5*rad_at_yld-thk-SQRT(ABS(((1.5*rad_at_yld)^2)-(cent_dist/2)^2)))</f>
        <v>0.14464263670244293</v>
      </c>
      <c r="C25" s="81" t="str">
        <f>IF(B25&gt;B23, "OK", "WILL NOT STRAIGHTEN")</f>
        <v>OK</v>
      </c>
      <c r="D25" s="85" t="s">
        <v>332</v>
      </c>
      <c r="E25" s="88">
        <f>-curv_at_yld*E23</f>
        <v>-3.2700241660168071E-2</v>
      </c>
      <c r="F25" s="87">
        <f>-curv_at_yld*F23</f>
        <v>3.334449972810697E-2</v>
      </c>
      <c r="G25" s="87">
        <f>-curv_at_yld*G23</f>
        <v>-3.2719945891037092E-2</v>
      </c>
      <c r="H25" s="87">
        <f>-curv_at_yld*H23</f>
        <v>3.1564011872755725E-2</v>
      </c>
      <c r="I25" s="86">
        <f>-curv_at_yld*I23</f>
        <v>-1.6698641363073839E-2</v>
      </c>
      <c r="J25" s="33"/>
      <c r="K25" s="33"/>
      <c r="L25" s="33"/>
      <c r="M25" s="33"/>
    </row>
    <row r="26" spans="1:13" ht="51.75" customHeight="1" x14ac:dyDescent="0.25">
      <c r="A26" s="622" t="s">
        <v>331</v>
      </c>
      <c r="B26" s="623">
        <f>(16*yield*width*thk^2)/(15*cent_dist)</f>
        <v>17066.666666666668</v>
      </c>
      <c r="C26" s="81" t="str">
        <f>IF(B26&lt;B21, "OK", "NOT ENOUGH FORCE")</f>
        <v>OK</v>
      </c>
      <c r="D26" s="85" t="s">
        <v>330</v>
      </c>
      <c r="E26" s="84">
        <f>IF(curv_at_yld&lt;ABS(E21),1-ABS(curv_at_yld/E21), "NONE")</f>
        <v>0.60619932000391619</v>
      </c>
      <c r="F26" s="83">
        <f>IF(curv_at_yld&lt;ABS(F21),1-ABS(curv_at_yld/F21), "NONE")</f>
        <v>0.68531202175060257</v>
      </c>
      <c r="G26" s="83">
        <f>IF(curv_at_yld&lt;ABS(G21),1-ABS(curv_at_yld/G21), "NONE")</f>
        <v>0.60838193672945484</v>
      </c>
      <c r="H26" s="83">
        <f>IF(curv_at_yld&lt;ABS(H21),1-ABS(curv_at_yld/H21), "NONE")</f>
        <v>0.4960843651262129</v>
      </c>
      <c r="I26" s="82" t="str">
        <f>IF(curv_at_yld&lt;ABS(I21),1-ABS(curv_at_yld/I21), "NONE")</f>
        <v>NONE</v>
      </c>
      <c r="J26" s="33"/>
      <c r="K26" s="33"/>
      <c r="L26" s="33"/>
      <c r="M26" s="33"/>
    </row>
    <row r="27" spans="1:13" ht="51.75" customHeight="1" thickBot="1" x14ac:dyDescent="0.3">
      <c r="A27" s="624" t="s">
        <v>1119</v>
      </c>
      <c r="B27" s="625" t="str">
        <f>IF(AND(E26&gt;=BackbendMin, E26&lt;=BackbendMax), IF(AND(E26 &lt;= BackbendConfirm, B28=FALSE), BackbendNCText, BackbendOKText), BackbendNOText)</f>
        <v>OK</v>
      </c>
      <c r="C27" s="81"/>
      <c r="D27" s="80" t="s">
        <v>329</v>
      </c>
      <c r="E27" s="79">
        <f>IF(E26&lt;&gt;"None",1/(1-E26),"")</f>
        <v>2.5393556964146038</v>
      </c>
      <c r="F27" s="78"/>
      <c r="G27" s="78">
        <f>IF(G26&lt;&gt;"NONE",1/(1-G26),"")</f>
        <v>2.5535083638600211</v>
      </c>
      <c r="H27" s="78"/>
      <c r="I27" s="77" t="str">
        <f>IF(I26&lt;&gt;"NONE",1/(1-I26),"")</f>
        <v/>
      </c>
      <c r="J27" s="33"/>
      <c r="K27" s="33"/>
      <c r="L27" s="33"/>
      <c r="M27" s="33"/>
    </row>
    <row r="28" spans="1:13" ht="51.75" customHeight="1" thickBot="1" x14ac:dyDescent="0.3">
      <c r="A28" s="72"/>
      <c r="B28" s="689" t="b">
        <v>0</v>
      </c>
      <c r="C28" s="71"/>
      <c r="D28" s="76" t="s">
        <v>328</v>
      </c>
      <c r="E28" s="75">
        <f>1/((1/E19)+E25)</f>
        <v>49.56444903162744</v>
      </c>
      <c r="F28" s="74">
        <f>1/((1/F19)+F25)</f>
        <v>-51.19936223015641</v>
      </c>
      <c r="G28" s="74">
        <f>1/((1/G19)+G25)</f>
        <v>155.04110299855591</v>
      </c>
      <c r="H28" s="74">
        <f>1/((1/H19)+H25)</f>
        <v>-131.4779769140271</v>
      </c>
      <c r="I28" s="73">
        <f>IF(ABS((1/I19)+I25)&lt;0.00001, "FLAT", 1/((1/I19)+I25))</f>
        <v>-131.4779769140271</v>
      </c>
      <c r="J28" s="33"/>
      <c r="K28" s="33"/>
      <c r="L28" s="33"/>
      <c r="M28" s="33"/>
    </row>
    <row r="29" spans="1:13" ht="45.6" customHeight="1" x14ac:dyDescent="0.25">
      <c r="A29" s="72"/>
      <c r="B29" s="71"/>
      <c r="C29" s="71"/>
      <c r="D29" s="70"/>
      <c r="E29" s="69"/>
      <c r="F29" s="69"/>
      <c r="G29" s="69"/>
      <c r="H29" s="69"/>
      <c r="I29" s="69"/>
      <c r="J29" s="33"/>
      <c r="K29" s="33"/>
      <c r="L29" s="33"/>
      <c r="M29" s="33"/>
    </row>
    <row r="30" spans="1:13" x14ac:dyDescent="0.25">
      <c r="A30" s="33"/>
      <c r="B30" s="33"/>
      <c r="C30" s="33"/>
      <c r="D30" s="33"/>
      <c r="E30" s="33"/>
      <c r="F30" s="33"/>
      <c r="G30" s="33"/>
      <c r="H30" s="33"/>
      <c r="I30" s="33"/>
      <c r="J30" s="33"/>
      <c r="K30" s="33"/>
      <c r="L30" s="33"/>
      <c r="M30" s="33"/>
    </row>
    <row r="31" spans="1:13" x14ac:dyDescent="0.25">
      <c r="A31" s="33"/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3"/>
      <c r="M31" s="33"/>
    </row>
    <row r="32" spans="1:13" hidden="1" x14ac:dyDescent="0.25">
      <c r="A32" s="46"/>
      <c r="B32" s="46"/>
      <c r="C32" s="46" t="s">
        <v>169</v>
      </c>
      <c r="D32" s="37">
        <f>VLOOKUP($B$15,LookupStrModel,7,FALSE)</f>
        <v>0.18</v>
      </c>
      <c r="E32" s="68" t="s">
        <v>327</v>
      </c>
      <c r="F32" s="67">
        <v>0.33</v>
      </c>
      <c r="G32" s="33">
        <f>E19/H33</f>
        <v>1.0825589466959726</v>
      </c>
      <c r="H32" s="33" t="s">
        <v>326</v>
      </c>
      <c r="I32" s="33" t="s">
        <v>293</v>
      </c>
      <c r="J32" s="33" t="s">
        <v>292</v>
      </c>
      <c r="K32" s="33" t="s">
        <v>291</v>
      </c>
      <c r="L32" s="33"/>
      <c r="M32" s="33"/>
    </row>
    <row r="33" spans="1:13" hidden="1" x14ac:dyDescent="0.25">
      <c r="A33" s="46"/>
      <c r="B33" s="46"/>
      <c r="C33" s="46" t="s">
        <v>166</v>
      </c>
      <c r="D33" s="37">
        <f>VLOOKUP($B$15,LookupStrModel,8,FALSE)</f>
        <v>0.18</v>
      </c>
      <c r="E33" s="33"/>
      <c r="F33" s="33"/>
      <c r="G33" s="33"/>
      <c r="H33" s="65">
        <f>rad_at_yld/2.49</f>
        <v>17.469879518072286</v>
      </c>
      <c r="I33" s="65">
        <f>H33-(SQRT(((H33+(thk/4))^2)-((cent_dist/4)^2)))</f>
        <v>6.9870974865406055E-2</v>
      </c>
      <c r="J33" s="65">
        <f>ABS(I33)*-2 * 1.07</f>
        <v>-0.14952388621196896</v>
      </c>
      <c r="K33" s="65">
        <f>10000+(L41*1000)</f>
        <v>9962.6321440776101</v>
      </c>
      <c r="L33" s="33">
        <f>10000+(B22*1000)</f>
        <v>8750</v>
      </c>
      <c r="M33" s="33">
        <f>IF(K33&gt;L33,K33,L33)</f>
        <v>9962.6321440776101</v>
      </c>
    </row>
    <row r="34" spans="1:13" hidden="1" x14ac:dyDescent="0.25">
      <c r="A34" s="46"/>
      <c r="B34" s="46"/>
      <c r="C34" s="33"/>
      <c r="D34" s="33"/>
      <c r="E34" s="33"/>
      <c r="F34" s="33"/>
      <c r="G34" s="33"/>
      <c r="H34" s="33"/>
      <c r="I34" s="65">
        <f>H33-(SQRT(((H33+(thk/4))*((H33+(thk/4)))-(((cent_dist/4)*(cent_dist/4))))))</f>
        <v>6.9870974865406055E-2</v>
      </c>
      <c r="J34" s="33"/>
      <c r="K34" s="33"/>
      <c r="L34" s="33"/>
      <c r="M34" s="33"/>
    </row>
    <row r="35" spans="1:13" hidden="1" x14ac:dyDescent="0.25">
      <c r="A35" s="46"/>
      <c r="B35" s="46"/>
      <c r="C35" s="33"/>
      <c r="D35" s="33"/>
      <c r="E35" s="33"/>
      <c r="F35" s="33"/>
      <c r="G35" s="33"/>
      <c r="H35" s="33"/>
      <c r="I35" s="65">
        <f>(SQRT(((H33+(thk/4))*((H33+(thk/4)))-(((cent_dist/4)*(cent_dist/4))))))</f>
        <v>17.40000854320688</v>
      </c>
      <c r="J35" s="65">
        <f>I35-H33</f>
        <v>-6.9870974865406055E-2</v>
      </c>
      <c r="K35" s="33"/>
      <c r="L35" s="33"/>
      <c r="M35" s="33"/>
    </row>
    <row r="36" spans="1:13" hidden="1" x14ac:dyDescent="0.25">
      <c r="A36" s="46"/>
      <c r="B36" s="46"/>
      <c r="C36" s="33"/>
      <c r="D36" s="33"/>
      <c r="E36" s="33"/>
      <c r="F36" s="33"/>
      <c r="G36" s="33"/>
      <c r="H36" s="33"/>
      <c r="I36" s="33">
        <v>4</v>
      </c>
      <c r="J36" s="33">
        <v>8</v>
      </c>
      <c r="K36" s="33">
        <v>2</v>
      </c>
      <c r="L36" s="33">
        <v>3</v>
      </c>
      <c r="M36" s="33"/>
    </row>
    <row r="37" spans="1:13" hidden="1" x14ac:dyDescent="0.25">
      <c r="A37" s="46"/>
      <c r="B37" s="46"/>
      <c r="C37" s="33"/>
      <c r="D37" s="33"/>
      <c r="E37" s="33"/>
      <c r="F37" s="33"/>
      <c r="G37" s="33"/>
      <c r="H37" s="33" t="s">
        <v>276</v>
      </c>
      <c r="I37" s="65">
        <f>SQRT(((I39)^2)-((I38)^2))</f>
        <v>17.324381385087364</v>
      </c>
      <c r="J37" s="65">
        <f>SQRT(((J39)^2)-((J38)^2))</f>
        <v>17.433618826163475</v>
      </c>
      <c r="K37" s="65">
        <f>SQRT(((K39)^2)-((K38)^2))</f>
        <v>16.880364047494993</v>
      </c>
      <c r="L37" s="65">
        <f>SQRT(((L39)^2)-((L38)^2))</f>
        <v>17.21036578274737</v>
      </c>
      <c r="M37" s="33"/>
    </row>
    <row r="38" spans="1:13" hidden="1" x14ac:dyDescent="0.25">
      <c r="A38" s="33"/>
      <c r="B38" s="46"/>
      <c r="C38" s="33"/>
      <c r="D38" s="33"/>
      <c r="E38" s="33"/>
      <c r="F38" s="33"/>
      <c r="G38" s="33"/>
      <c r="H38" s="33" t="s">
        <v>271</v>
      </c>
      <c r="I38" s="65">
        <f>cent_dist/4</f>
        <v>2.25</v>
      </c>
      <c r="J38" s="65">
        <f>cent_dist/8</f>
        <v>1.125</v>
      </c>
      <c r="K38" s="65">
        <f>cent_dist/2</f>
        <v>4.5</v>
      </c>
      <c r="L38" s="65">
        <f>cent_dist/3</f>
        <v>3</v>
      </c>
      <c r="M38" s="33"/>
    </row>
    <row r="39" spans="1:13" hidden="1" x14ac:dyDescent="0.25">
      <c r="A39" s="33"/>
      <c r="B39" s="46"/>
      <c r="C39" s="33"/>
      <c r="D39" s="33"/>
      <c r="E39" s="33"/>
      <c r="F39" s="33"/>
      <c r="G39" s="33"/>
      <c r="H39" s="33" t="s">
        <v>325</v>
      </c>
      <c r="I39" s="65">
        <f>H33</f>
        <v>17.469879518072286</v>
      </c>
      <c r="J39" s="65">
        <f>H33</f>
        <v>17.469879518072286</v>
      </c>
      <c r="K39" s="65">
        <f>H33</f>
        <v>17.469879518072286</v>
      </c>
      <c r="L39" s="65">
        <f>H33</f>
        <v>17.469879518072286</v>
      </c>
      <c r="M39" s="33"/>
    </row>
    <row r="40" spans="1:13" hidden="1" x14ac:dyDescent="0.25">
      <c r="A40" s="33"/>
      <c r="B40" s="46"/>
      <c r="C40" s="33"/>
      <c r="D40" s="33"/>
      <c r="E40" s="33"/>
      <c r="F40" s="33"/>
      <c r="G40" s="33"/>
      <c r="H40" s="33" t="s">
        <v>324</v>
      </c>
      <c r="I40" s="65">
        <f>(I39-I37) *2</f>
        <v>0.29099626596984507</v>
      </c>
      <c r="J40" s="65">
        <f>(J39-J37) *4</f>
        <v>0.14504276763524615</v>
      </c>
      <c r="K40" s="65">
        <f>(K39-K37) *1</f>
        <v>0.58951547057729314</v>
      </c>
      <c r="L40" s="65">
        <f>(L39-L37) *1.3</f>
        <v>0.33736785592239044</v>
      </c>
      <c r="M40" s="33"/>
    </row>
    <row r="41" spans="1:13" hidden="1" x14ac:dyDescent="0.25">
      <c r="A41" s="33"/>
      <c r="B41" s="46"/>
      <c r="C41" s="33"/>
      <c r="D41" s="33"/>
      <c r="E41" s="33"/>
      <c r="F41" s="33"/>
      <c r="G41" s="33"/>
      <c r="H41" s="33" t="s">
        <v>263</v>
      </c>
      <c r="I41" s="65">
        <f>thk-I40</f>
        <v>9.0037340301549196E-3</v>
      </c>
      <c r="J41" s="65">
        <f>thk-J40</f>
        <v>0.15495723236475384</v>
      </c>
      <c r="K41" s="65">
        <f>thk-K40</f>
        <v>-0.28951547057729315</v>
      </c>
      <c r="L41" s="65">
        <f>thk-L40</f>
        <v>-3.7367855922390447E-2</v>
      </c>
      <c r="M41" s="33"/>
    </row>
    <row r="42" spans="1:13" hidden="1" x14ac:dyDescent="0.25">
      <c r="A42" s="33"/>
      <c r="B42" s="46"/>
      <c r="C42" s="33"/>
      <c r="D42" s="33"/>
      <c r="E42" s="33"/>
      <c r="F42" s="33"/>
      <c r="G42" s="33"/>
      <c r="H42" s="66">
        <f>E19</f>
        <v>18.912174369989881</v>
      </c>
      <c r="I42" s="65">
        <f>H42-(SQRT(((H42+(thk/4))^2)-((cent_dist/4)^2)))</f>
        <v>5.8785004774918548E-2</v>
      </c>
      <c r="J42" s="65">
        <f>ABS(I42)*-2</f>
        <v>-0.1175700095498371</v>
      </c>
      <c r="K42" s="33"/>
      <c r="L42" s="33"/>
      <c r="M42" s="33"/>
    </row>
    <row r="43" spans="1:13" hidden="1" x14ac:dyDescent="0.25">
      <c r="A43" s="33"/>
      <c r="B43" s="46"/>
      <c r="C43" s="33"/>
      <c r="D43" s="33"/>
      <c r="E43" s="33"/>
      <c r="F43" s="33"/>
      <c r="G43" s="33"/>
      <c r="H43" s="33"/>
      <c r="I43" s="33"/>
      <c r="J43" s="65">
        <f>E18/J42</f>
        <v>0.31783493142058444</v>
      </c>
      <c r="K43" s="33"/>
      <c r="L43" s="33"/>
      <c r="M43" s="33"/>
    </row>
    <row r="44" spans="1:13" hidden="1" x14ac:dyDescent="0.25">
      <c r="A44" s="33"/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 t="s">
        <v>323</v>
      </c>
      <c r="M44" s="33"/>
    </row>
    <row r="45" spans="1:13" hidden="1" x14ac:dyDescent="0.25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 t="s">
        <v>322</v>
      </c>
      <c r="M45" s="33"/>
    </row>
    <row r="46" spans="1:13" hidden="1" x14ac:dyDescent="0.25">
      <c r="A46" s="33"/>
      <c r="B46" s="46"/>
      <c r="C46" s="33"/>
      <c r="D46" s="33"/>
      <c r="E46" s="33"/>
      <c r="F46" s="33"/>
      <c r="G46" s="33"/>
      <c r="H46" s="33"/>
      <c r="I46" s="33"/>
      <c r="J46" s="33"/>
      <c r="K46" s="33"/>
      <c r="L46" s="33" t="s">
        <v>321</v>
      </c>
      <c r="M46" s="33"/>
    </row>
    <row r="47" spans="1:13" hidden="1" x14ac:dyDescent="0.25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 t="s">
        <v>320</v>
      </c>
      <c r="M47" s="33"/>
    </row>
    <row r="48" spans="1:13" hidden="1" x14ac:dyDescent="0.25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 t="s">
        <v>319</v>
      </c>
      <c r="M48" s="33"/>
    </row>
    <row r="49" spans="1:7" hidden="1" x14ac:dyDescent="0.25">
      <c r="A49" s="33"/>
      <c r="B49" s="33"/>
      <c r="C49" s="33"/>
      <c r="D49" s="33"/>
      <c r="E49" s="33"/>
      <c r="F49" s="33"/>
      <c r="G49" s="33"/>
    </row>
    <row r="50" spans="1:7" x14ac:dyDescent="0.25">
      <c r="A50" s="33"/>
      <c r="B50" s="33"/>
      <c r="C50" s="33"/>
      <c r="D50" s="33"/>
      <c r="E50" s="33"/>
      <c r="F50" s="33"/>
      <c r="G50" s="33"/>
    </row>
    <row r="51" spans="1:7" x14ac:dyDescent="0.25">
      <c r="A51" s="33"/>
      <c r="B51" s="33"/>
      <c r="C51" s="33"/>
      <c r="D51" s="33"/>
      <c r="E51" s="33"/>
      <c r="F51" s="33"/>
      <c r="G51" s="33"/>
    </row>
    <row r="52" spans="1:7" x14ac:dyDescent="0.25">
      <c r="A52" s="33"/>
      <c r="B52" s="33"/>
      <c r="C52" s="33"/>
      <c r="D52" s="33"/>
      <c r="E52" s="33"/>
      <c r="F52" s="33"/>
      <c r="G52" s="33"/>
    </row>
    <row r="53" spans="1:7" x14ac:dyDescent="0.25">
      <c r="A53" s="33"/>
      <c r="B53" s="33"/>
      <c r="C53" s="33"/>
      <c r="D53" s="33"/>
      <c r="E53" s="33"/>
      <c r="F53" s="33"/>
      <c r="G53" s="33"/>
    </row>
    <row r="54" spans="1:7" x14ac:dyDescent="0.25">
      <c r="A54" s="33"/>
      <c r="B54" s="33"/>
      <c r="C54" s="33"/>
      <c r="D54" s="33"/>
      <c r="E54" s="33"/>
      <c r="F54" s="33"/>
      <c r="G54" s="33"/>
    </row>
    <row r="55" spans="1:7" x14ac:dyDescent="0.25">
      <c r="A55" s="33"/>
      <c r="B55" s="33"/>
      <c r="C55" s="33"/>
      <c r="D55" s="33"/>
      <c r="E55" s="33"/>
      <c r="F55" s="33"/>
      <c r="G55" s="33"/>
    </row>
    <row r="56" spans="1:7" x14ac:dyDescent="0.25">
      <c r="A56" s="33"/>
      <c r="B56" s="33"/>
      <c r="C56" s="33"/>
      <c r="D56" s="33"/>
      <c r="E56" s="33"/>
      <c r="F56" s="33"/>
      <c r="G56" s="33"/>
    </row>
    <row r="57" spans="1:7" x14ac:dyDescent="0.25">
      <c r="A57" s="35"/>
      <c r="B57" s="36"/>
      <c r="C57" s="36"/>
      <c r="D57" s="33"/>
      <c r="E57" s="36"/>
      <c r="F57" s="36"/>
      <c r="G57" s="33"/>
    </row>
    <row r="58" spans="1:7" x14ac:dyDescent="0.25">
      <c r="A58" s="35"/>
      <c r="B58" s="36"/>
      <c r="C58" s="36"/>
      <c r="D58" s="33"/>
      <c r="E58" s="36"/>
      <c r="F58" s="36"/>
      <c r="G58" s="36"/>
    </row>
    <row r="59" spans="1:7" x14ac:dyDescent="0.25">
      <c r="A59" s="35"/>
      <c r="B59" s="36"/>
      <c r="C59" s="36"/>
      <c r="D59" s="33"/>
      <c r="E59" s="36"/>
      <c r="F59" s="36"/>
      <c r="G59" s="36"/>
    </row>
    <row r="60" spans="1:7" x14ac:dyDescent="0.25">
      <c r="A60" s="35"/>
      <c r="B60" s="36"/>
      <c r="C60" s="36"/>
      <c r="D60" s="33"/>
      <c r="E60" s="36"/>
      <c r="F60" s="36"/>
      <c r="G60" s="36"/>
    </row>
    <row r="61" spans="1:7" x14ac:dyDescent="0.25">
      <c r="A61" s="35"/>
      <c r="B61" s="36"/>
      <c r="C61" s="36"/>
      <c r="D61" s="33"/>
      <c r="E61" s="36"/>
      <c r="F61" s="36"/>
      <c r="G61" s="36"/>
    </row>
    <row r="62" spans="1:7" x14ac:dyDescent="0.25">
      <c r="A62" s="35"/>
      <c r="B62" s="36"/>
      <c r="C62" s="36"/>
      <c r="D62" s="33"/>
      <c r="E62" s="36"/>
      <c r="F62" s="36"/>
      <c r="G62" s="36"/>
    </row>
    <row r="63" spans="1:7" x14ac:dyDescent="0.25">
      <c r="A63" s="35"/>
      <c r="B63" s="36"/>
      <c r="C63" s="36"/>
      <c r="D63" s="33"/>
      <c r="E63" s="36"/>
      <c r="F63" s="36"/>
      <c r="G63" s="36"/>
    </row>
    <row r="64" spans="1:7" x14ac:dyDescent="0.25">
      <c r="A64" s="35"/>
      <c r="B64" s="36"/>
      <c r="C64" s="36"/>
      <c r="D64" s="33"/>
      <c r="E64" s="36"/>
      <c r="F64" s="33"/>
      <c r="G64" s="33"/>
    </row>
    <row r="65" spans="1:7" x14ac:dyDescent="0.25">
      <c r="A65" s="35"/>
      <c r="B65" s="36"/>
      <c r="C65" s="36"/>
      <c r="D65" s="33"/>
      <c r="E65" s="36"/>
      <c r="F65" s="36"/>
      <c r="G65" s="36"/>
    </row>
    <row r="66" spans="1:7" x14ac:dyDescent="0.25">
      <c r="A66" s="33"/>
      <c r="B66" s="33"/>
      <c r="C66" s="33"/>
      <c r="D66" s="33"/>
      <c r="E66" s="33"/>
      <c r="F66" s="33"/>
      <c r="G66" s="33"/>
    </row>
    <row r="67" spans="1:7" x14ac:dyDescent="0.25">
      <c r="A67" s="33"/>
      <c r="B67" s="33"/>
      <c r="C67" s="33"/>
      <c r="D67" s="33"/>
      <c r="E67" s="33"/>
      <c r="F67" s="33"/>
      <c r="G67" s="33"/>
    </row>
    <row r="68" spans="1:7" x14ac:dyDescent="0.25">
      <c r="A68" s="33"/>
      <c r="B68" s="33"/>
      <c r="C68" s="33"/>
      <c r="D68" s="33"/>
      <c r="E68" s="33"/>
      <c r="F68" s="33"/>
      <c r="G68" s="33"/>
    </row>
    <row r="69" spans="1:7" x14ac:dyDescent="0.25">
      <c r="A69" s="33"/>
      <c r="B69" s="33"/>
      <c r="C69" s="33"/>
      <c r="D69" s="33"/>
      <c r="E69" s="33"/>
      <c r="F69" s="33"/>
      <c r="G69" s="33"/>
    </row>
    <row r="70" spans="1:7" x14ac:dyDescent="0.25">
      <c r="A70" s="33"/>
      <c r="B70" s="33"/>
      <c r="C70" s="33"/>
      <c r="D70" s="33"/>
      <c r="E70" s="33"/>
      <c r="F70" s="33"/>
      <c r="G70" s="33"/>
    </row>
    <row r="71" spans="1:7" x14ac:dyDescent="0.25">
      <c r="A71" s="33"/>
      <c r="B71" s="33"/>
      <c r="C71" s="33"/>
      <c r="D71" s="33"/>
      <c r="E71" s="33"/>
      <c r="F71" s="33"/>
      <c r="G71" s="33"/>
    </row>
    <row r="72" spans="1:7" x14ac:dyDescent="0.25">
      <c r="A72" s="33"/>
      <c r="B72" s="33"/>
      <c r="C72" s="33"/>
      <c r="D72" s="33"/>
      <c r="E72" s="33"/>
      <c r="F72" s="33"/>
      <c r="G72" s="33"/>
    </row>
    <row r="73" spans="1:7" x14ac:dyDescent="0.25">
      <c r="A73" s="33"/>
      <c r="B73" s="33"/>
      <c r="C73" s="33"/>
      <c r="D73" s="33"/>
      <c r="E73" s="33"/>
      <c r="F73" s="33"/>
      <c r="G73" s="33"/>
    </row>
    <row r="74" spans="1:7" x14ac:dyDescent="0.25">
      <c r="A74" s="33"/>
      <c r="B74" s="33"/>
      <c r="C74" s="33"/>
      <c r="D74" s="33"/>
      <c r="E74" s="33"/>
      <c r="F74" s="33"/>
      <c r="G74" s="33"/>
    </row>
    <row r="75" spans="1:7" x14ac:dyDescent="0.25">
      <c r="A75" s="33"/>
      <c r="B75" s="33"/>
      <c r="C75" s="33"/>
      <c r="D75" s="33"/>
      <c r="E75" s="33"/>
      <c r="F75" s="33"/>
      <c r="G75" s="33"/>
    </row>
    <row r="76" spans="1:7" x14ac:dyDescent="0.25">
      <c r="A76" s="33"/>
      <c r="B76" s="33"/>
      <c r="C76" s="33"/>
      <c r="D76" s="33"/>
      <c r="E76" s="33"/>
      <c r="F76" s="33"/>
      <c r="G76" s="33"/>
    </row>
    <row r="77" spans="1:7" x14ac:dyDescent="0.25">
      <c r="A77" s="33"/>
      <c r="B77" s="33"/>
      <c r="C77" s="33"/>
      <c r="D77" s="33"/>
      <c r="E77" s="33"/>
      <c r="F77" s="33"/>
      <c r="G77" s="33"/>
    </row>
    <row r="78" spans="1:7" x14ac:dyDescent="0.25">
      <c r="A78" s="33"/>
      <c r="B78" s="33"/>
      <c r="C78" s="33"/>
      <c r="D78" s="33"/>
      <c r="E78" s="33"/>
      <c r="F78" s="33"/>
      <c r="G78" s="33"/>
    </row>
    <row r="79" spans="1:7" x14ac:dyDescent="0.25">
      <c r="A79" s="33"/>
      <c r="B79" s="33"/>
      <c r="C79" s="33"/>
      <c r="D79" s="33"/>
      <c r="E79" s="33"/>
      <c r="F79" s="33"/>
      <c r="G79" s="33"/>
    </row>
    <row r="80" spans="1:7" x14ac:dyDescent="0.25">
      <c r="A80" s="33"/>
      <c r="B80" s="33"/>
      <c r="C80" s="33"/>
      <c r="D80" s="33"/>
      <c r="E80" s="33"/>
      <c r="F80" s="33"/>
      <c r="G80" s="33"/>
    </row>
    <row r="81" spans="1:7" x14ac:dyDescent="0.25">
      <c r="A81" s="35"/>
      <c r="B81" s="36"/>
      <c r="C81" s="36"/>
      <c r="D81" s="33"/>
      <c r="E81" s="36"/>
      <c r="F81" s="36"/>
      <c r="G81" s="36"/>
    </row>
    <row r="82" spans="1:7" x14ac:dyDescent="0.25">
      <c r="A82" s="35"/>
      <c r="B82" s="36"/>
      <c r="C82" s="36"/>
      <c r="D82" s="33"/>
      <c r="E82" s="36"/>
      <c r="F82" s="36"/>
      <c r="G82" s="36"/>
    </row>
    <row r="83" spans="1:7" x14ac:dyDescent="0.25">
      <c r="A83" s="35"/>
      <c r="B83" s="36"/>
      <c r="C83" s="36"/>
      <c r="D83" s="33"/>
      <c r="E83" s="36"/>
      <c r="F83" s="36"/>
      <c r="G83" s="36"/>
    </row>
    <row r="84" spans="1:7" x14ac:dyDescent="0.25">
      <c r="A84" s="35"/>
      <c r="B84" s="36"/>
      <c r="C84" s="36"/>
      <c r="D84" s="33"/>
      <c r="E84" s="36"/>
      <c r="F84" s="36"/>
      <c r="G84" s="36"/>
    </row>
    <row r="85" spans="1:7" x14ac:dyDescent="0.25">
      <c r="A85" s="35"/>
      <c r="B85" s="36"/>
      <c r="C85" s="36"/>
      <c r="D85" s="33"/>
      <c r="E85" s="36"/>
      <c r="F85" s="36"/>
      <c r="G85" s="36"/>
    </row>
    <row r="86" spans="1:7" x14ac:dyDescent="0.25">
      <c r="A86" s="35"/>
      <c r="B86" s="36"/>
      <c r="C86" s="36"/>
      <c r="D86" s="33"/>
      <c r="E86" s="36"/>
      <c r="F86" s="36"/>
      <c r="G86" s="36"/>
    </row>
    <row r="87" spans="1:7" x14ac:dyDescent="0.25">
      <c r="A87" s="33"/>
      <c r="B87" s="33"/>
      <c r="C87" s="33"/>
      <c r="D87" s="33"/>
      <c r="E87" s="33"/>
      <c r="F87" s="33"/>
      <c r="G87" s="33"/>
    </row>
    <row r="88" spans="1:7" x14ac:dyDescent="0.25">
      <c r="A88" s="33"/>
      <c r="B88" s="33"/>
      <c r="C88" s="33"/>
      <c r="D88" s="33"/>
      <c r="E88" s="33"/>
      <c r="F88" s="33"/>
      <c r="G88" s="33"/>
    </row>
  </sheetData>
  <sheetProtection algorithmName="SHA-512" hashValue="lALhXCTbBAQDT99qDf28EFiLZJy9KoUDp32xe89Y/qY+UFAUH9rWqMlCdgxpJNC+GMWjoUhF+0xU6S+froxdYg==" saltValue="hpd/4z5suIQMTOwkCsj3VQ==" spinCount="100000" sheet="1" objects="1" scenarios="1"/>
  <mergeCells count="3">
    <mergeCell ref="B4:F4"/>
    <mergeCell ref="B5:F5"/>
    <mergeCell ref="B6:F6"/>
  </mergeCells>
  <conditionalFormatting sqref="E26">
    <cfRule type="cellIs" dxfId="142" priority="12" stopIfTrue="1" operator="lessThan">
      <formula>47%</formula>
    </cfRule>
    <cfRule type="cellIs" dxfId="141" priority="13" stopIfTrue="1" operator="greaterThan">
      <formula>70%</formula>
    </cfRule>
    <cfRule type="cellIs" dxfId="140" priority="14" stopIfTrue="1" operator="between">
      <formula>47%</formula>
      <formula>70%</formula>
    </cfRule>
  </conditionalFormatting>
  <conditionalFormatting sqref="J24">
    <cfRule type="cellIs" dxfId="139" priority="7" stopIfTrue="1" operator="equal">
      <formula>"NOT ENOUGH FORCE!"</formula>
    </cfRule>
  </conditionalFormatting>
  <conditionalFormatting sqref="E24 G24 I24">
    <cfRule type="cellIs" dxfId="138" priority="3" stopIfTrue="1" operator="greaterThan">
      <formula>$B$21</formula>
    </cfRule>
  </conditionalFormatting>
  <conditionalFormatting sqref="E14 G14 I14">
    <cfRule type="cellIs" dxfId="137" priority="2" operator="equal">
      <formula>"ROLLER TOO HIGH!"</formula>
    </cfRule>
  </conditionalFormatting>
  <conditionalFormatting sqref="E18 G18 I18">
    <cfRule type="cellIs" dxfId="136" priority="1" operator="notBetween">
      <formula>$B$23</formula>
      <formula>1.25*thk</formula>
    </cfRule>
  </conditionalFormatting>
  <dataValidations count="1">
    <dataValidation errorTitle="Roller Depth too great" error="You have engaged the rollers too far." sqref="G18 E18 I18" xr:uid="{250F5C7F-FAC0-468C-97BE-C0637BB3A958}"/>
  </dataValidations>
  <pageMargins left="0.75" right="0.75" top="1" bottom="1" header="0.5" footer="0.5"/>
  <pageSetup scale="67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340" r:id="rId4" name="CommandButton1">
          <controlPr defaultSize="0" autoLine="0" r:id="rId5">
            <anchor moveWithCells="1">
              <from>
                <xdr:col>3</xdr:col>
                <xdr:colOff>0</xdr:colOff>
                <xdr:row>13</xdr:row>
                <xdr:rowOff>266700</xdr:rowOff>
              </from>
              <to>
                <xdr:col>3</xdr:col>
                <xdr:colOff>628650</xdr:colOff>
                <xdr:row>15</xdr:row>
                <xdr:rowOff>9525</xdr:rowOff>
              </to>
            </anchor>
          </controlPr>
        </control>
      </mc:Choice>
      <mc:Fallback>
        <control shapeId="14340" r:id="rId4" name="CommandButton1"/>
      </mc:Fallback>
    </mc:AlternateContent>
    <mc:AlternateContent xmlns:mc="http://schemas.openxmlformats.org/markup-compatibility/2006">
      <mc:Choice Requires="x14">
        <control shapeId="14337" r:id="rId6" name="Spinner 1">
          <controlPr defaultSize="0" autoPict="0">
            <anchor>
              <from>
                <xdr:col>4</xdr:col>
                <xdr:colOff>19050</xdr:colOff>
                <xdr:row>14</xdr:row>
                <xdr:rowOff>0</xdr:rowOff>
              </from>
              <to>
                <xdr:col>4</xdr:col>
                <xdr:colOff>952500</xdr:colOff>
                <xdr:row>15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348" r:id="rId7" name="Button 12">
          <controlPr defaultSize="0" print="0" autoFill="0" autoPict="0" macro="[0]!Tbl_Contents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266700</xdr:colOff>
                <xdr:row>0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350" r:id="rId8" name="Check Box 14">
          <controlPr defaultSize="0" autoFill="0" autoLine="0" autoPict="0" altText="Confirmed">
            <anchor moveWithCells="1">
              <from>
                <xdr:col>1</xdr:col>
                <xdr:colOff>104775</xdr:colOff>
                <xdr:row>27</xdr:row>
                <xdr:rowOff>180975</xdr:rowOff>
              </from>
              <to>
                <xdr:col>1</xdr:col>
                <xdr:colOff>847725</xdr:colOff>
                <xdr:row>27</xdr:row>
                <xdr:rowOff>495300</xdr:rowOff>
              </to>
            </anchor>
          </controlPr>
        </control>
      </mc:Choice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6512C-C91B-4BAA-BECD-CD3A750455F8}">
  <sheetPr codeName="Sheet48">
    <tabColor rgb="FF66FF33"/>
    <pageSetUpPr fitToPage="1"/>
  </sheetPr>
  <dimension ref="A1:M88"/>
  <sheetViews>
    <sheetView topLeftCell="A7" zoomScale="75" zoomScaleNormal="75" workbookViewId="0">
      <selection activeCell="B28" sqref="B28"/>
    </sheetView>
  </sheetViews>
  <sheetFormatPr defaultRowHeight="15" x14ac:dyDescent="0.25"/>
  <cols>
    <col min="1" max="1" width="21.5703125" customWidth="1"/>
    <col min="2" max="2" width="15" customWidth="1"/>
    <col min="3" max="4" width="15.140625" customWidth="1"/>
    <col min="5" max="5" width="14.7109375" customWidth="1"/>
    <col min="6" max="6" width="13" customWidth="1"/>
    <col min="7" max="7" width="14.140625" customWidth="1"/>
    <col min="8" max="8" width="12.42578125" customWidth="1"/>
    <col min="9" max="9" width="14.140625" customWidth="1"/>
    <col min="10" max="10" width="12.7109375" customWidth="1"/>
    <col min="11" max="11" width="16.85546875" bestFit="1" customWidth="1"/>
  </cols>
  <sheetData>
    <row r="1" spans="1:9" ht="18.75" x14ac:dyDescent="0.3">
      <c r="A1" s="33"/>
      <c r="B1" s="42"/>
      <c r="C1" s="33"/>
      <c r="D1" s="33"/>
      <c r="E1" s="145" t="s">
        <v>0</v>
      </c>
      <c r="F1" s="33"/>
      <c r="G1" s="33"/>
      <c r="H1" s="33"/>
      <c r="I1" s="33"/>
    </row>
    <row r="2" spans="1:9" x14ac:dyDescent="0.25">
      <c r="A2" s="33"/>
      <c r="B2" s="42"/>
      <c r="C2" s="33"/>
      <c r="D2" s="33"/>
      <c r="E2" s="144" t="s">
        <v>367</v>
      </c>
      <c r="F2" s="33"/>
      <c r="G2" s="33"/>
      <c r="H2" s="33"/>
      <c r="I2" s="33"/>
    </row>
    <row r="3" spans="1:9" x14ac:dyDescent="0.25">
      <c r="A3" s="33"/>
      <c r="B3" s="33"/>
      <c r="C3" s="33"/>
      <c r="D3" s="33"/>
      <c r="E3" s="144"/>
      <c r="F3" s="33"/>
      <c r="G3" s="33"/>
      <c r="H3" s="33"/>
      <c r="I3" s="33"/>
    </row>
    <row r="4" spans="1:9" x14ac:dyDescent="0.25">
      <c r="A4" s="143" t="s">
        <v>1</v>
      </c>
      <c r="B4" s="997" t="str">
        <f>Customer</f>
        <v>ULTRATECH TOOL&amp; DESIGN, INC.</v>
      </c>
      <c r="C4" s="997"/>
      <c r="D4" s="997"/>
      <c r="E4" s="997"/>
      <c r="F4" s="997"/>
      <c r="G4" s="33"/>
      <c r="H4" s="33"/>
      <c r="I4" s="33"/>
    </row>
    <row r="5" spans="1:9" x14ac:dyDescent="0.25">
      <c r="A5" s="143" t="s">
        <v>2</v>
      </c>
      <c r="B5" s="998">
        <f>CalcDate</f>
        <v>0</v>
      </c>
      <c r="C5" s="997"/>
      <c r="D5" s="997"/>
      <c r="E5" s="997"/>
      <c r="F5" s="997"/>
      <c r="G5" s="33"/>
      <c r="H5" s="33"/>
      <c r="I5" s="33"/>
    </row>
    <row r="6" spans="1:9" x14ac:dyDescent="0.25">
      <c r="A6" s="143" t="s">
        <v>3</v>
      </c>
      <c r="B6" s="997">
        <f>Reference</f>
        <v>0</v>
      </c>
      <c r="C6" s="997"/>
      <c r="D6" s="997"/>
      <c r="E6" s="997"/>
      <c r="F6" s="997"/>
      <c r="G6" s="33"/>
      <c r="H6" s="33"/>
      <c r="I6" s="33"/>
    </row>
    <row r="8" spans="1:9" ht="16.5" customHeight="1" x14ac:dyDescent="0.25">
      <c r="A8" s="68"/>
      <c r="B8" s="123"/>
      <c r="C8" s="33"/>
      <c r="D8" s="123" t="s">
        <v>366</v>
      </c>
      <c r="E8" s="132">
        <v>-60</v>
      </c>
      <c r="F8" s="33" t="s">
        <v>365</v>
      </c>
      <c r="G8" s="33"/>
      <c r="H8" s="33"/>
      <c r="I8" s="33"/>
    </row>
    <row r="9" spans="1:9" x14ac:dyDescent="0.25">
      <c r="A9" s="142"/>
      <c r="B9" s="610"/>
      <c r="C9" s="33"/>
      <c r="D9" s="123" t="s">
        <v>364</v>
      </c>
      <c r="E9" s="132">
        <f>IF(ABS(1/$E$8)&gt;curv_at_yld, 1/((1/$E$8)-((ABS($E$8)/$E$8)*(1.5*(1-$F$32))*curv_at_yld*(1-((1/3)*(curv_at_yld/(1/$E$8))^2)))), IF($F$32=0, ABS($E$8)/$E$8*99999, $E$8/$F$32))</f>
        <v>-181.81818181818181</v>
      </c>
      <c r="F9" s="33" t="s">
        <v>363</v>
      </c>
      <c r="G9" s="33"/>
      <c r="H9" s="33"/>
      <c r="I9" s="33"/>
    </row>
    <row r="10" spans="1:9" ht="15.75" thickBot="1" x14ac:dyDescent="0.3">
      <c r="A10" s="33"/>
      <c r="B10" s="33"/>
      <c r="C10" s="33"/>
      <c r="D10" s="123" t="s">
        <v>362</v>
      </c>
      <c r="E10" s="138">
        <f>1/$E$9</f>
        <v>-5.5000000000000005E-3</v>
      </c>
      <c r="F10" s="33"/>
      <c r="G10" s="33"/>
      <c r="H10" s="33"/>
      <c r="I10" s="33"/>
    </row>
    <row r="11" spans="1:9" x14ac:dyDescent="0.25">
      <c r="A11" s="140" t="s">
        <v>361</v>
      </c>
      <c r="B11" s="451">
        <f>CoilWidth_3</f>
        <v>30</v>
      </c>
      <c r="C11" s="33" t="s">
        <v>336</v>
      </c>
      <c r="D11" s="123" t="s">
        <v>360</v>
      </c>
      <c r="E11" s="138">
        <f>2*yield/(thk*modulus)</f>
        <v>9.852216748768472E-2</v>
      </c>
      <c r="F11" s="33"/>
      <c r="G11" s="33"/>
      <c r="H11" s="33"/>
      <c r="I11" s="33"/>
    </row>
    <row r="12" spans="1:9" x14ac:dyDescent="0.25">
      <c r="A12" s="135" t="s">
        <v>359</v>
      </c>
      <c r="B12" s="452">
        <f>Thickness_3</f>
        <v>3.5000000000000003E-2</v>
      </c>
      <c r="C12" s="36" t="s">
        <v>336</v>
      </c>
      <c r="D12" s="136" t="s">
        <v>358</v>
      </c>
      <c r="E12" s="132">
        <f>1/curv_at_yld</f>
        <v>10.15</v>
      </c>
      <c r="F12" s="33" t="s">
        <v>357</v>
      </c>
      <c r="G12" s="33"/>
      <c r="H12" s="33"/>
      <c r="I12" s="33"/>
    </row>
    <row r="13" spans="1:9" x14ac:dyDescent="0.25">
      <c r="A13" s="135" t="s">
        <v>356</v>
      </c>
      <c r="B13" s="453">
        <f>YieldStrength_3</f>
        <v>50000</v>
      </c>
      <c r="C13" s="130" t="s">
        <v>11</v>
      </c>
      <c r="D13" s="133" t="s">
        <v>355</v>
      </c>
      <c r="E13" s="132">
        <f>width*yield*(thk^2)/6</f>
        <v>306.25000000000006</v>
      </c>
      <c r="F13" s="33" t="s">
        <v>354</v>
      </c>
      <c r="G13" s="33"/>
      <c r="H13" s="33"/>
      <c r="I13" s="33"/>
    </row>
    <row r="14" spans="1:9" ht="21.75" customHeight="1" x14ac:dyDescent="0.25">
      <c r="A14" s="131" t="s">
        <v>353</v>
      </c>
      <c r="B14" s="455" t="str">
        <f>Material_3</f>
        <v>Cold Rolled Steel</v>
      </c>
      <c r="C14" s="130"/>
      <c r="D14" s="130"/>
      <c r="E14" s="129" t="str">
        <f>IF(E21&gt;0,"", "ROLLER TOO HIGH!")</f>
        <v/>
      </c>
      <c r="F14" s="33"/>
      <c r="G14" s="129" t="str">
        <f>IF(G21&gt;0,"", "ROLLER TOO HIGH!")</f>
        <v/>
      </c>
      <c r="H14" s="33"/>
      <c r="I14" s="129" t="str">
        <f>IF(I21&gt;0,"", "ROLLER TOO HIGH!")</f>
        <v/>
      </c>
    </row>
    <row r="15" spans="1:9" s="125" customFormat="1" ht="21.75" customHeight="1" thickBot="1" x14ac:dyDescent="0.25">
      <c r="A15" s="128" t="s">
        <v>352</v>
      </c>
      <c r="B15" s="455" t="str">
        <f>'Str. Utility (3)'!model</f>
        <v>CPPS-507</v>
      </c>
      <c r="C15" s="127"/>
      <c r="G15" s="126">
        <f>(E18+I18)/2</f>
        <v>-0.61099999999999999</v>
      </c>
    </row>
    <row r="16" spans="1:9" ht="15" customHeight="1" thickBot="1" x14ac:dyDescent="0.3">
      <c r="A16" s="68"/>
      <c r="B16" s="33"/>
      <c r="C16" s="36"/>
      <c r="D16" s="33"/>
      <c r="E16" s="124">
        <v>8750</v>
      </c>
      <c r="F16" s="33"/>
      <c r="G16" s="46"/>
      <c r="H16" s="33"/>
      <c r="I16" s="46"/>
    </row>
    <row r="17" spans="1:13" ht="15.75" thickBot="1" x14ac:dyDescent="0.3">
      <c r="A17" s="123"/>
      <c r="B17" s="33"/>
      <c r="C17" s="33"/>
      <c r="D17" s="122"/>
      <c r="E17" s="121" t="s">
        <v>351</v>
      </c>
      <c r="F17" s="119"/>
      <c r="G17" s="120" t="s">
        <v>350</v>
      </c>
      <c r="H17" s="119"/>
      <c r="I17" s="118" t="s">
        <v>349</v>
      </c>
      <c r="J17" s="33"/>
      <c r="K17" s="33"/>
      <c r="L17" s="33"/>
      <c r="M17" s="65"/>
    </row>
    <row r="18" spans="1:13" ht="21.75" customHeight="1" x14ac:dyDescent="0.25">
      <c r="A18" s="117" t="s">
        <v>348</v>
      </c>
      <c r="B18" s="116">
        <f>VLOOKUP($B$15,LookupStrModel,2,FALSE)</f>
        <v>5</v>
      </c>
      <c r="C18" s="71" t="s">
        <v>336</v>
      </c>
      <c r="D18" s="115" t="s">
        <v>347</v>
      </c>
      <c r="E18" s="114">
        <f>IF((E16-10000)/1000&lt;$B23, "TOO DEEP!", (E16-10000)/1000)</f>
        <v>-1.25</v>
      </c>
      <c r="F18" s="112"/>
      <c r="G18" s="113">
        <f>E18+((I18-E18)/2)</f>
        <v>-0.61099999999999999</v>
      </c>
      <c r="H18" s="112"/>
      <c r="I18" s="111">
        <f>thk*0.8</f>
        <v>2.8000000000000004E-2</v>
      </c>
      <c r="J18" s="110">
        <f>10000+(I18*1000)</f>
        <v>10028</v>
      </c>
      <c r="K18" s="33"/>
      <c r="L18" s="33"/>
      <c r="M18" s="65"/>
    </row>
    <row r="19" spans="1:13" ht="25.5" x14ac:dyDescent="0.25">
      <c r="A19" s="102" t="s">
        <v>346</v>
      </c>
      <c r="B19" s="98">
        <f>VLOOKUP($B$15,LookupStrModel,3,FALSE)</f>
        <v>9</v>
      </c>
      <c r="C19" s="71" t="s">
        <v>336</v>
      </c>
      <c r="D19" s="85" t="s">
        <v>345</v>
      </c>
      <c r="E19" s="109">
        <f>(1.314-$D$32*thk+$D$33*E18)*((-0.25*cent_dist^2)-(E18^2)+(2*E18*thk)-thk^2)/(4*(E18+0.00000001)-4*thk)</f>
        <v>4.6133183836639562</v>
      </c>
      <c r="F19" s="93">
        <f>-E19</f>
        <v>-4.6133183836639562</v>
      </c>
      <c r="G19" s="93">
        <f>((-0.25*cent_dist^2)-($G$18^2)+(2*$G$18*thk)-thk^2)/(4*($G$18+0.00000001)-4*thk)</f>
        <v>7.9981874303125009</v>
      </c>
      <c r="H19" s="93">
        <f>-G19</f>
        <v>-7.9981874303125009</v>
      </c>
      <c r="I19" s="108">
        <f>(1.314-$D$32*thk+$D$33*I18)*((-0.25*cent_dist^2)-(I18^2)+(2*I18*thk)-thk^2)/(4*(I18+0.00000001)-4*thk)</f>
        <v>949.39597500353614</v>
      </c>
      <c r="J19" s="33"/>
      <c r="K19" s="33"/>
      <c r="L19" s="33"/>
      <c r="M19" s="33"/>
    </row>
    <row r="20" spans="1:13" ht="25.5" x14ac:dyDescent="0.25">
      <c r="A20" s="102" t="s">
        <v>344</v>
      </c>
      <c r="B20" s="107">
        <f>VLOOKUP($B$14,LookupMaterial,3, FALSE)</f>
        <v>29000000</v>
      </c>
      <c r="C20" s="71" t="s">
        <v>11</v>
      </c>
      <c r="D20" s="106" t="s">
        <v>343</v>
      </c>
      <c r="E20" s="105" t="s">
        <v>277</v>
      </c>
      <c r="F20" s="104" t="s">
        <v>278</v>
      </c>
      <c r="G20" s="104" t="s">
        <v>277</v>
      </c>
      <c r="H20" s="104" t="s">
        <v>278</v>
      </c>
      <c r="I20" s="103" t="s">
        <v>277</v>
      </c>
      <c r="J20" s="33"/>
      <c r="K20" s="33"/>
      <c r="L20" s="33"/>
      <c r="M20" s="33"/>
    </row>
    <row r="21" spans="1:13" ht="27.75" customHeight="1" x14ac:dyDescent="0.25">
      <c r="A21" s="102" t="s">
        <v>342</v>
      </c>
      <c r="B21" s="101">
        <f>VLOOKUP($B$15,LookupStrModel,5)</f>
        <v>60000</v>
      </c>
      <c r="C21" s="100" t="s">
        <v>341</v>
      </c>
      <c r="D21" s="85" t="s">
        <v>340</v>
      </c>
      <c r="E21" s="88">
        <f>1/E19-$E$10</f>
        <v>0.22226370821078845</v>
      </c>
      <c r="F21" s="87">
        <f>1/F19-1/E28</f>
        <v>-0.29542326049280809</v>
      </c>
      <c r="G21" s="87">
        <f>1/G19-1/F28</f>
        <v>0.19948754766553697</v>
      </c>
      <c r="H21" s="87">
        <f>1/H19-1/G28</f>
        <v>-0.11428886143584699</v>
      </c>
      <c r="I21" s="86">
        <f>1/I19-1/H28</f>
        <v>1.4905371626686705E-2</v>
      </c>
      <c r="J21" s="33"/>
      <c r="K21" s="33"/>
      <c r="L21" s="33"/>
      <c r="M21" s="33"/>
    </row>
    <row r="22" spans="1:13" ht="45" customHeight="1" x14ac:dyDescent="0.25">
      <c r="A22" s="99" t="s">
        <v>339</v>
      </c>
      <c r="B22" s="98">
        <f>VLOOKUP($B$15,LookupStrModel,6)</f>
        <v>-1.25</v>
      </c>
      <c r="C22" s="71" t="s">
        <v>336</v>
      </c>
      <c r="D22" s="97" t="s">
        <v>338</v>
      </c>
      <c r="E22" s="94">
        <f>IF(ABS(E21)&lt;curv_at_yld, (modulus*width*thk^3)/(12)*(E21), (ABS(E21)/E21)*1.5*My*(1-1/3*((curv_at_yld/E21)^2)))</f>
        <v>429.2881371948323</v>
      </c>
      <c r="F22" s="93">
        <f>IF(ABS(F21)&lt;curv_at_yld, (modulus*width*thk^3)/(12)*(F21), (ABS(F21)/F21)*1.5*My*(1-1/3*((curv_at_yld/F21)^2)))</f>
        <v>-442.34460805172876</v>
      </c>
      <c r="G22" s="93">
        <f>IF(ABS(G21)&lt;curv_at_yld, (modulus*width*thk^3)/(12)*(G21), (ABS(G21)/G21)*1.5*My*(1-1/3*((curv_at_yld/G21)^2)))</f>
        <v>422.02570279420638</v>
      </c>
      <c r="H22" s="93">
        <f>IF(ABS(H21)&lt;curv_at_yld, (modulus*width*thk^3)/(12)*(H21), (ABS(H21)/H21)*1.5*My*(1-1/3*((curv_at_yld/H21)^2)))</f>
        <v>-345.58444785265465</v>
      </c>
      <c r="I22" s="92">
        <f>IF(ABS(I21)&lt;curv_at_yld, (modulus*width*thk^3)/(12)*(I21), (ABS(I21)/I21)*1.5*My*(1-1/3*((curv_at_yld/I21)^2)))</f>
        <v>46.332416115828963</v>
      </c>
      <c r="J22" s="33"/>
      <c r="K22" s="33"/>
      <c r="L22" s="33"/>
      <c r="M22" s="33"/>
    </row>
    <row r="23" spans="1:13" ht="45" customHeight="1" thickBot="1" x14ac:dyDescent="0.3">
      <c r="A23" s="96" t="s">
        <v>337</v>
      </c>
      <c r="B23" s="95">
        <f>IF((B$18+thk)^2-(cent_dist/2)^2&lt;0, B22, IF(B$18-SQRT((B$18+thk)^2-(cent_dist/2)^2)&lt;-B22, -B$18+SQRT((B$18+thk)^2-(cent_dist/2)^2), B22))</f>
        <v>-1.25</v>
      </c>
      <c r="C23" s="71" t="s">
        <v>336</v>
      </c>
      <c r="D23" s="85" t="s">
        <v>335</v>
      </c>
      <c r="E23" s="88">
        <f>E22/My</f>
        <v>1.4017571826770032</v>
      </c>
      <c r="F23" s="87">
        <f>F22/My</f>
        <v>-1.4443905569036037</v>
      </c>
      <c r="G23" s="87">
        <f>G22/My</f>
        <v>1.3780431111647553</v>
      </c>
      <c r="H23" s="87">
        <f>H22/My</f>
        <v>-1.1284390133964231</v>
      </c>
      <c r="I23" s="86">
        <f>I22/My</f>
        <v>0.15128952201087006</v>
      </c>
      <c r="J23" s="33"/>
      <c r="K23" s="33"/>
      <c r="L23" s="33"/>
      <c r="M23" s="33"/>
    </row>
    <row r="24" spans="1:13" ht="45" customHeight="1" thickBot="1" x14ac:dyDescent="0.3">
      <c r="A24" s="72"/>
      <c r="B24" s="71"/>
      <c r="C24" s="71"/>
      <c r="D24" s="85" t="s">
        <v>334</v>
      </c>
      <c r="E24" s="94">
        <f>E22*5.333/cent_dist</f>
        <v>254.37707062889342</v>
      </c>
      <c r="F24" s="93"/>
      <c r="G24" s="93">
        <f>G22*5.333/cent_dist</f>
        <v>250.07367477794475</v>
      </c>
      <c r="H24" s="93"/>
      <c r="I24" s="92">
        <f>I22*5.3333/cent_dist</f>
        <v>27.456074985616734</v>
      </c>
      <c r="J24" s="91" t="str">
        <f>IF(E24&gt;B21, "NOT ENOUGH FORCE!", IF(G24&gt;B21, "NOT ENOUGH FORCE!", IF(I24&gt;B21, "NOT ENOUGH FORCE!", "")))</f>
        <v/>
      </c>
      <c r="K24" s="33"/>
      <c r="L24" s="33"/>
      <c r="M24" s="33"/>
    </row>
    <row r="25" spans="1:13" ht="50.25" customHeight="1" x14ac:dyDescent="0.25">
      <c r="A25" s="90" t="s">
        <v>333</v>
      </c>
      <c r="B25" s="89">
        <f>-(1.5*rad_at_yld-thk-SQRT(ABS(((1.5*rad_at_yld)^2)-(cent_dist/2)^2)))</f>
        <v>-0.64522000853914463</v>
      </c>
      <c r="C25" s="81" t="str">
        <f>IF(B25&gt;B23, "OK", "WILL NOT STRAIGHTEN")</f>
        <v>OK</v>
      </c>
      <c r="D25" s="85" t="s">
        <v>332</v>
      </c>
      <c r="E25" s="88">
        <f>-curv_at_yld*E23</f>
        <v>-0.13810415592876879</v>
      </c>
      <c r="F25" s="87">
        <f>-curv_at_yld*F23</f>
        <v>0.14230448836488704</v>
      </c>
      <c r="G25" s="87">
        <f>-curv_at_yld*G23</f>
        <v>-0.13576779420342416</v>
      </c>
      <c r="H25" s="87">
        <f>-curv_at_yld*H23</f>
        <v>0.1111762574774801</v>
      </c>
      <c r="I25" s="86">
        <f>-curv_at_yld*I23</f>
        <v>-1.4905371626686705E-2</v>
      </c>
      <c r="J25" s="33"/>
      <c r="K25" s="33"/>
      <c r="L25" s="33"/>
      <c r="M25" s="33"/>
    </row>
    <row r="26" spans="1:13" ht="51.75" customHeight="1" x14ac:dyDescent="0.25">
      <c r="A26" s="626" t="s">
        <v>331</v>
      </c>
      <c r="B26" s="627">
        <f>(16*yield*width*thk^2)/(15*cent_dist)</f>
        <v>217.7777777777778</v>
      </c>
      <c r="C26" s="81" t="str">
        <f>IF(B26&lt;B21, "OK", "NOT ENOUGH FORCE")</f>
        <v>OK</v>
      </c>
      <c r="D26" s="85" t="s">
        <v>330</v>
      </c>
      <c r="E26" s="84">
        <f>IF(curv_at_yld&lt;ABS(E21),1-ABS(curv_at_yld/E21), "NONE")</f>
        <v>0.55673299846932656</v>
      </c>
      <c r="F26" s="83">
        <f>IF(curv_at_yld&lt;ABS(F21),1-ABS(curv_at_yld/F21), "NONE")</f>
        <v>0.66650504322734871</v>
      </c>
      <c r="G26" s="83">
        <f>IF(curv_at_yld&lt;ABS(G21),1-ABS(curv_at_yld/G21), "NONE")</f>
        <v>0.5061237223043713</v>
      </c>
      <c r="H26" s="83">
        <f>IF(curv_at_yld&lt;ABS(H21),1-ABS(curv_at_yld/H21), "NONE")</f>
        <v>0.13795477310807303</v>
      </c>
      <c r="I26" s="82" t="str">
        <f>IF(curv_at_yld&lt;ABS(I21),1-ABS(curv_at_yld/I21), "NONE")</f>
        <v>NONE</v>
      </c>
      <c r="J26" s="33"/>
      <c r="K26" s="33"/>
      <c r="L26" s="33"/>
      <c r="M26" s="33"/>
    </row>
    <row r="27" spans="1:13" ht="51.75" customHeight="1" thickBot="1" x14ac:dyDescent="0.3">
      <c r="A27" s="624" t="s">
        <v>1119</v>
      </c>
      <c r="B27" s="625" t="str">
        <f>IF(AND(E26&gt;=BackbendMin, E26&lt;=BackbendMax), IF(AND(E26 &lt;= BackbendConfirm, B28=FALSE), BackbendNCText, BackbendOKText), BackbendNOText)</f>
        <v>OK</v>
      </c>
      <c r="C27" s="81"/>
      <c r="D27" s="80" t="s">
        <v>329</v>
      </c>
      <c r="E27" s="79">
        <f>IF(E26&lt;&gt;"None",1/(1-E26),"")</f>
        <v>2.255976638339503</v>
      </c>
      <c r="F27" s="78"/>
      <c r="G27" s="78">
        <f>IF(G26&lt;&gt;"NONE",1/(1-G26),"")</f>
        <v>2.0247986088052006</v>
      </c>
      <c r="H27" s="78"/>
      <c r="I27" s="77" t="str">
        <f>IF(I26&lt;&gt;"NONE",1/(1-I26),"")</f>
        <v/>
      </c>
      <c r="J27" s="33"/>
      <c r="K27" s="33"/>
      <c r="L27" s="33"/>
      <c r="M27" s="33"/>
    </row>
    <row r="28" spans="1:13" ht="51.75" customHeight="1" thickBot="1" x14ac:dyDescent="0.3">
      <c r="A28" s="72"/>
      <c r="B28" s="689" t="b">
        <v>0</v>
      </c>
      <c r="C28" s="71"/>
      <c r="D28" s="76" t="s">
        <v>328</v>
      </c>
      <c r="E28" s="75">
        <f>1/((1/E19)+E25)</f>
        <v>12.713014134820908</v>
      </c>
      <c r="F28" s="74">
        <f>1/((1/F19)+F25)</f>
        <v>-13.430170260574453</v>
      </c>
      <c r="G28" s="74">
        <f>1/((1/G19)+G25)</f>
        <v>-93.114496033947972</v>
      </c>
      <c r="H28" s="74">
        <f>1/((1/H19)+H25)</f>
        <v>-72.191374668141705</v>
      </c>
      <c r="I28" s="73">
        <f>IF(ABS((1/I19)+I25)&lt;0.00001, "FLAT", 1/((1/I19)+I25))</f>
        <v>-72.191374668141705</v>
      </c>
      <c r="J28" s="33"/>
      <c r="K28" s="33"/>
      <c r="L28" s="33"/>
      <c r="M28" s="33"/>
    </row>
    <row r="29" spans="1:13" ht="45.6" customHeight="1" x14ac:dyDescent="0.25">
      <c r="A29" s="72"/>
      <c r="B29" s="71"/>
      <c r="C29" s="71"/>
      <c r="D29" s="70"/>
      <c r="E29" s="69"/>
      <c r="F29" s="69"/>
      <c r="G29" s="69"/>
      <c r="H29" s="69"/>
      <c r="I29" s="69"/>
      <c r="J29" s="33"/>
      <c r="K29" s="33"/>
      <c r="L29" s="33"/>
      <c r="M29" s="33"/>
    </row>
    <row r="30" spans="1:13" x14ac:dyDescent="0.25">
      <c r="A30" s="33"/>
      <c r="B30" s="33"/>
      <c r="C30" s="33"/>
      <c r="D30" s="33"/>
      <c r="E30" s="33"/>
      <c r="F30" s="33"/>
      <c r="G30" s="33"/>
      <c r="H30" s="33"/>
      <c r="I30" s="33"/>
      <c r="J30" s="33"/>
      <c r="K30" s="33"/>
      <c r="L30" s="33"/>
      <c r="M30" s="33"/>
    </row>
    <row r="31" spans="1:13" x14ac:dyDescent="0.25">
      <c r="A31" s="33"/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3"/>
      <c r="M31" s="33"/>
    </row>
    <row r="32" spans="1:13" hidden="1" x14ac:dyDescent="0.25">
      <c r="A32" s="46"/>
      <c r="B32" s="46"/>
      <c r="C32" s="46" t="s">
        <v>169</v>
      </c>
      <c r="D32" s="37">
        <f>VLOOKUP($B$15,LookupStrModel,7,FALSE)</f>
        <v>0.18</v>
      </c>
      <c r="E32" s="68" t="s">
        <v>327</v>
      </c>
      <c r="F32" s="67">
        <v>0.33</v>
      </c>
      <c r="G32" s="33">
        <f>E19/H33</f>
        <v>1.1317401749086946</v>
      </c>
      <c r="H32" s="33" t="s">
        <v>326</v>
      </c>
      <c r="I32" s="33" t="s">
        <v>293</v>
      </c>
      <c r="J32" s="33" t="s">
        <v>292</v>
      </c>
      <c r="K32" s="33" t="s">
        <v>291</v>
      </c>
      <c r="L32" s="33"/>
      <c r="M32" s="33"/>
    </row>
    <row r="33" spans="1:13" hidden="1" x14ac:dyDescent="0.25">
      <c r="A33" s="46"/>
      <c r="B33" s="46"/>
      <c r="C33" s="46" t="s">
        <v>166</v>
      </c>
      <c r="D33" s="37">
        <f>VLOOKUP($B$15,LookupStrModel,8,FALSE)</f>
        <v>0.18</v>
      </c>
      <c r="E33" s="33"/>
      <c r="F33" s="33"/>
      <c r="G33" s="33"/>
      <c r="H33" s="65">
        <f>rad_at_yld/2.49</f>
        <v>4.0763052208835342</v>
      </c>
      <c r="I33" s="65">
        <f>H33-(SQRT(((H33+(thk/4))^2)-((cent_dist/4)^2)))</f>
        <v>0.66673396372115912</v>
      </c>
      <c r="J33" s="65">
        <f>ABS(I33)*-2 * 1.07</f>
        <v>-1.4268106823632807</v>
      </c>
      <c r="K33" s="65">
        <f>10000+(L41*1000)</f>
        <v>8323.488621151022</v>
      </c>
      <c r="L33" s="33">
        <f>10000+(B22*1000)</f>
        <v>8750</v>
      </c>
      <c r="M33" s="33">
        <f>IF(K33&gt;L33,K33,L33)</f>
        <v>8750</v>
      </c>
    </row>
    <row r="34" spans="1:13" hidden="1" x14ac:dyDescent="0.25">
      <c r="A34" s="46"/>
      <c r="B34" s="46"/>
      <c r="C34" s="33"/>
      <c r="D34" s="33"/>
      <c r="E34" s="33"/>
      <c r="F34" s="33"/>
      <c r="G34" s="33"/>
      <c r="H34" s="33"/>
      <c r="I34" s="65">
        <f>H33-(SQRT(((H33+(thk/4))*((H33+(thk/4)))-(((cent_dist/4)*(cent_dist/4))))))</f>
        <v>0.66673396372115912</v>
      </c>
      <c r="J34" s="33"/>
      <c r="K34" s="33"/>
      <c r="L34" s="33"/>
      <c r="M34" s="33"/>
    </row>
    <row r="35" spans="1:13" hidden="1" x14ac:dyDescent="0.25">
      <c r="A35" s="46"/>
      <c r="B35" s="46"/>
      <c r="C35" s="33"/>
      <c r="D35" s="33"/>
      <c r="E35" s="33"/>
      <c r="F35" s="33"/>
      <c r="G35" s="33"/>
      <c r="H35" s="33"/>
      <c r="I35" s="65">
        <f>(SQRT(((H33+(thk/4))*((H33+(thk/4)))-(((cent_dist/4)*(cent_dist/4))))))</f>
        <v>3.4095712571623751</v>
      </c>
      <c r="J35" s="65">
        <f>I35-H33</f>
        <v>-0.66673396372115912</v>
      </c>
      <c r="K35" s="33"/>
      <c r="L35" s="33"/>
      <c r="M35" s="33"/>
    </row>
    <row r="36" spans="1:13" hidden="1" x14ac:dyDescent="0.25">
      <c r="A36" s="46"/>
      <c r="B36" s="46"/>
      <c r="C36" s="33"/>
      <c r="D36" s="33"/>
      <c r="E36" s="33"/>
      <c r="F36" s="33"/>
      <c r="G36" s="33"/>
      <c r="H36" s="33"/>
      <c r="I36" s="33">
        <v>4</v>
      </c>
      <c r="J36" s="33">
        <v>8</v>
      </c>
      <c r="K36" s="33">
        <v>2</v>
      </c>
      <c r="L36" s="33">
        <v>3</v>
      </c>
      <c r="M36" s="33"/>
    </row>
    <row r="37" spans="1:13" hidden="1" x14ac:dyDescent="0.25">
      <c r="A37" s="46"/>
      <c r="B37" s="46"/>
      <c r="C37" s="33"/>
      <c r="D37" s="33"/>
      <c r="E37" s="33"/>
      <c r="F37" s="33"/>
      <c r="G37" s="33"/>
      <c r="H37" s="33" t="s">
        <v>276</v>
      </c>
      <c r="I37" s="65">
        <f>SQRT(((I39)^2)-((I38)^2))</f>
        <v>3.3990828548010357</v>
      </c>
      <c r="J37" s="65">
        <f>SQRT(((J39)^2)-((J38)^2))</f>
        <v>3.9179891850032407</v>
      </c>
      <c r="K37" s="65" t="e">
        <f>SQRT(((K39)^2)-((K38)^2))</f>
        <v>#NUM!</v>
      </c>
      <c r="L37" s="65">
        <f>SQRT(((L39)^2)-((L38)^2))</f>
        <v>2.7597580063843208</v>
      </c>
      <c r="M37" s="33"/>
    </row>
    <row r="38" spans="1:13" hidden="1" x14ac:dyDescent="0.25">
      <c r="A38" s="33"/>
      <c r="B38" s="46"/>
      <c r="C38" s="33"/>
      <c r="D38" s="33"/>
      <c r="E38" s="33"/>
      <c r="F38" s="33"/>
      <c r="G38" s="33"/>
      <c r="H38" s="33" t="s">
        <v>271</v>
      </c>
      <c r="I38" s="65">
        <f>cent_dist/4</f>
        <v>2.25</v>
      </c>
      <c r="J38" s="65">
        <f>cent_dist/8</f>
        <v>1.125</v>
      </c>
      <c r="K38" s="65">
        <f>cent_dist/2</f>
        <v>4.5</v>
      </c>
      <c r="L38" s="65">
        <f>cent_dist/3</f>
        <v>3</v>
      </c>
      <c r="M38" s="33"/>
    </row>
    <row r="39" spans="1:13" hidden="1" x14ac:dyDescent="0.25">
      <c r="A39" s="33"/>
      <c r="B39" s="46"/>
      <c r="C39" s="33"/>
      <c r="D39" s="33"/>
      <c r="E39" s="33"/>
      <c r="F39" s="33"/>
      <c r="G39" s="33"/>
      <c r="H39" s="33" t="s">
        <v>325</v>
      </c>
      <c r="I39" s="65">
        <f>H33</f>
        <v>4.0763052208835342</v>
      </c>
      <c r="J39" s="65">
        <f>H33</f>
        <v>4.0763052208835342</v>
      </c>
      <c r="K39" s="65">
        <f>H33</f>
        <v>4.0763052208835342</v>
      </c>
      <c r="L39" s="65">
        <f>H33</f>
        <v>4.0763052208835342</v>
      </c>
      <c r="M39" s="33"/>
    </row>
    <row r="40" spans="1:13" hidden="1" x14ac:dyDescent="0.25">
      <c r="A40" s="33"/>
      <c r="B40" s="46"/>
      <c r="C40" s="33"/>
      <c r="D40" s="33"/>
      <c r="E40" s="33"/>
      <c r="F40" s="33"/>
      <c r="G40" s="33"/>
      <c r="H40" s="33" t="s">
        <v>324</v>
      </c>
      <c r="I40" s="65">
        <f>(I39-I37) *2</f>
        <v>1.3544447321649971</v>
      </c>
      <c r="J40" s="65">
        <f>(J39-J37) *4</f>
        <v>0.63326414352117411</v>
      </c>
      <c r="K40" s="65" t="e">
        <f>(K39-K37) *1</f>
        <v>#NUM!</v>
      </c>
      <c r="L40" s="65">
        <f>(L39-L37) *1.3</f>
        <v>1.7115113788489775</v>
      </c>
      <c r="M40" s="33"/>
    </row>
    <row r="41" spans="1:13" hidden="1" x14ac:dyDescent="0.25">
      <c r="A41" s="33"/>
      <c r="B41" s="46"/>
      <c r="C41" s="33"/>
      <c r="D41" s="33"/>
      <c r="E41" s="33"/>
      <c r="F41" s="33"/>
      <c r="G41" s="33"/>
      <c r="H41" s="33" t="s">
        <v>263</v>
      </c>
      <c r="I41" s="65">
        <f>thk-I40</f>
        <v>-1.3194447321649971</v>
      </c>
      <c r="J41" s="65">
        <f>thk-J40</f>
        <v>-0.59826414352117407</v>
      </c>
      <c r="K41" s="65" t="e">
        <f>thk-K40</f>
        <v>#NUM!</v>
      </c>
      <c r="L41" s="65">
        <f>thk-L40</f>
        <v>-1.6765113788489776</v>
      </c>
      <c r="M41" s="33"/>
    </row>
    <row r="42" spans="1:13" hidden="1" x14ac:dyDescent="0.25">
      <c r="A42" s="33"/>
      <c r="B42" s="46"/>
      <c r="C42" s="33"/>
      <c r="D42" s="33"/>
      <c r="E42" s="33"/>
      <c r="F42" s="33"/>
      <c r="G42" s="33"/>
      <c r="H42" s="66">
        <f>E19</f>
        <v>4.6133183836639562</v>
      </c>
      <c r="I42" s="65">
        <f>H42-(SQRT(((H42+(thk/4))^2)-((cent_dist/4)^2)))</f>
        <v>0.57586669438444993</v>
      </c>
      <c r="J42" s="65">
        <f>ABS(I42)*-2</f>
        <v>-1.1517333887688999</v>
      </c>
      <c r="K42" s="33"/>
      <c r="L42" s="33"/>
      <c r="M42" s="33"/>
    </row>
    <row r="43" spans="1:13" hidden="1" x14ac:dyDescent="0.25">
      <c r="A43" s="33"/>
      <c r="B43" s="46"/>
      <c r="C43" s="33"/>
      <c r="D43" s="33"/>
      <c r="E43" s="33"/>
      <c r="F43" s="33"/>
      <c r="G43" s="33"/>
      <c r="H43" s="33"/>
      <c r="I43" s="33"/>
      <c r="J43" s="65">
        <f>E18/J42</f>
        <v>1.0853206238434561</v>
      </c>
      <c r="K43" s="33"/>
      <c r="L43" s="33"/>
      <c r="M43" s="33"/>
    </row>
    <row r="44" spans="1:13" hidden="1" x14ac:dyDescent="0.25">
      <c r="A44" s="33"/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 t="s">
        <v>323</v>
      </c>
      <c r="M44" s="33"/>
    </row>
    <row r="45" spans="1:13" hidden="1" x14ac:dyDescent="0.25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 t="s">
        <v>322</v>
      </c>
      <c r="M45" s="33"/>
    </row>
    <row r="46" spans="1:13" hidden="1" x14ac:dyDescent="0.25">
      <c r="A46" s="33"/>
      <c r="B46" s="46"/>
      <c r="C46" s="33"/>
      <c r="D46" s="33"/>
      <c r="E46" s="33"/>
      <c r="F46" s="33"/>
      <c r="G46" s="33"/>
      <c r="H46" s="33"/>
      <c r="I46" s="33"/>
      <c r="J46" s="33"/>
      <c r="K46" s="33"/>
      <c r="L46" s="33" t="s">
        <v>321</v>
      </c>
      <c r="M46" s="33"/>
    </row>
    <row r="47" spans="1:13" hidden="1" x14ac:dyDescent="0.25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 t="s">
        <v>320</v>
      </c>
      <c r="M47" s="33"/>
    </row>
    <row r="48" spans="1:13" hidden="1" x14ac:dyDescent="0.25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 t="s">
        <v>319</v>
      </c>
      <c r="M48" s="33"/>
    </row>
    <row r="49" spans="1:7" hidden="1" x14ac:dyDescent="0.25">
      <c r="A49" s="33"/>
      <c r="B49" s="33"/>
      <c r="C49" s="33"/>
      <c r="D49" s="33"/>
      <c r="E49" s="33"/>
      <c r="F49" s="33"/>
      <c r="G49" s="33"/>
    </row>
    <row r="50" spans="1:7" x14ac:dyDescent="0.25">
      <c r="A50" s="33"/>
      <c r="B50" s="33"/>
      <c r="C50" s="33"/>
      <c r="D50" s="33"/>
      <c r="E50" s="33"/>
      <c r="F50" s="33"/>
      <c r="G50" s="33"/>
    </row>
    <row r="51" spans="1:7" x14ac:dyDescent="0.25">
      <c r="A51" s="33"/>
      <c r="B51" s="33"/>
      <c r="C51" s="33"/>
      <c r="D51" s="33"/>
      <c r="E51" s="33"/>
      <c r="F51" s="33"/>
      <c r="G51" s="33"/>
    </row>
    <row r="52" spans="1:7" x14ac:dyDescent="0.25">
      <c r="A52" s="33"/>
      <c r="B52" s="33"/>
      <c r="C52" s="33"/>
      <c r="D52" s="33"/>
      <c r="E52" s="33"/>
      <c r="F52" s="33"/>
      <c r="G52" s="33"/>
    </row>
    <row r="53" spans="1:7" x14ac:dyDescent="0.25">
      <c r="A53" s="33"/>
      <c r="B53" s="33"/>
      <c r="C53" s="33"/>
      <c r="D53" s="33"/>
      <c r="E53" s="33"/>
      <c r="F53" s="33"/>
      <c r="G53" s="33"/>
    </row>
    <row r="54" spans="1:7" x14ac:dyDescent="0.25">
      <c r="A54" s="33"/>
      <c r="B54" s="33"/>
      <c r="C54" s="33"/>
      <c r="D54" s="33"/>
      <c r="E54" s="33"/>
      <c r="F54" s="33"/>
      <c r="G54" s="33"/>
    </row>
    <row r="55" spans="1:7" x14ac:dyDescent="0.25">
      <c r="A55" s="33"/>
      <c r="B55" s="33"/>
      <c r="C55" s="33"/>
      <c r="D55" s="33"/>
      <c r="E55" s="33"/>
      <c r="F55" s="33"/>
      <c r="G55" s="33"/>
    </row>
    <row r="56" spans="1:7" x14ac:dyDescent="0.25">
      <c r="A56" s="33"/>
      <c r="B56" s="33"/>
      <c r="C56" s="33"/>
      <c r="D56" s="33"/>
      <c r="E56" s="33"/>
      <c r="F56" s="33"/>
      <c r="G56" s="33"/>
    </row>
    <row r="57" spans="1:7" x14ac:dyDescent="0.25">
      <c r="A57" s="35"/>
      <c r="B57" s="36"/>
      <c r="C57" s="36"/>
      <c r="D57" s="33"/>
      <c r="E57" s="36"/>
      <c r="F57" s="36"/>
      <c r="G57" s="33"/>
    </row>
    <row r="58" spans="1:7" x14ac:dyDescent="0.25">
      <c r="A58" s="35"/>
      <c r="B58" s="36"/>
      <c r="C58" s="36"/>
      <c r="D58" s="33"/>
      <c r="E58" s="36"/>
      <c r="F58" s="36"/>
      <c r="G58" s="36"/>
    </row>
    <row r="59" spans="1:7" x14ac:dyDescent="0.25">
      <c r="A59" s="35"/>
      <c r="B59" s="36"/>
      <c r="C59" s="36"/>
      <c r="D59" s="33"/>
      <c r="E59" s="36"/>
      <c r="F59" s="36"/>
      <c r="G59" s="36"/>
    </row>
    <row r="60" spans="1:7" x14ac:dyDescent="0.25">
      <c r="A60" s="35"/>
      <c r="B60" s="36"/>
      <c r="C60" s="36"/>
      <c r="D60" s="33"/>
      <c r="E60" s="36"/>
      <c r="F60" s="36"/>
      <c r="G60" s="36"/>
    </row>
    <row r="61" spans="1:7" x14ac:dyDescent="0.25">
      <c r="A61" s="35"/>
      <c r="B61" s="36"/>
      <c r="C61" s="36"/>
      <c r="D61" s="33"/>
      <c r="E61" s="36"/>
      <c r="F61" s="36"/>
      <c r="G61" s="36"/>
    </row>
    <row r="62" spans="1:7" x14ac:dyDescent="0.25">
      <c r="A62" s="35"/>
      <c r="B62" s="36"/>
      <c r="C62" s="36"/>
      <c r="D62" s="33"/>
      <c r="E62" s="36"/>
      <c r="F62" s="36"/>
      <c r="G62" s="36"/>
    </row>
    <row r="63" spans="1:7" x14ac:dyDescent="0.25">
      <c r="A63" s="35"/>
      <c r="B63" s="36"/>
      <c r="C63" s="36"/>
      <c r="D63" s="33"/>
      <c r="E63" s="36"/>
      <c r="F63" s="36"/>
      <c r="G63" s="36"/>
    </row>
    <row r="64" spans="1:7" x14ac:dyDescent="0.25">
      <c r="A64" s="35"/>
      <c r="B64" s="36"/>
      <c r="C64" s="36"/>
      <c r="D64" s="33"/>
      <c r="E64" s="36"/>
      <c r="F64" s="33"/>
      <c r="G64" s="33"/>
    </row>
    <row r="65" spans="1:7" x14ac:dyDescent="0.25">
      <c r="A65" s="35"/>
      <c r="B65" s="36"/>
      <c r="C65" s="36"/>
      <c r="D65" s="33"/>
      <c r="E65" s="36"/>
      <c r="F65" s="36"/>
      <c r="G65" s="36"/>
    </row>
    <row r="66" spans="1:7" x14ac:dyDescent="0.25">
      <c r="A66" s="33"/>
      <c r="B66" s="33"/>
      <c r="C66" s="33"/>
      <c r="D66" s="33"/>
      <c r="E66" s="33"/>
      <c r="F66" s="33"/>
      <c r="G66" s="33"/>
    </row>
    <row r="67" spans="1:7" x14ac:dyDescent="0.25">
      <c r="A67" s="33"/>
      <c r="B67" s="33"/>
      <c r="C67" s="33"/>
      <c r="D67" s="33"/>
      <c r="E67" s="33"/>
      <c r="F67" s="33"/>
      <c r="G67" s="33"/>
    </row>
    <row r="68" spans="1:7" x14ac:dyDescent="0.25">
      <c r="A68" s="33"/>
      <c r="B68" s="33"/>
      <c r="C68" s="33"/>
      <c r="D68" s="33"/>
      <c r="E68" s="33"/>
      <c r="F68" s="33"/>
      <c r="G68" s="33"/>
    </row>
    <row r="69" spans="1:7" x14ac:dyDescent="0.25">
      <c r="A69" s="33"/>
      <c r="B69" s="33"/>
      <c r="C69" s="33"/>
      <c r="D69" s="33"/>
      <c r="E69" s="33"/>
      <c r="F69" s="33"/>
      <c r="G69" s="33"/>
    </row>
    <row r="70" spans="1:7" x14ac:dyDescent="0.25">
      <c r="A70" s="33"/>
      <c r="B70" s="33"/>
      <c r="C70" s="33"/>
      <c r="D70" s="33"/>
      <c r="E70" s="33"/>
      <c r="F70" s="33"/>
      <c r="G70" s="33"/>
    </row>
    <row r="71" spans="1:7" x14ac:dyDescent="0.25">
      <c r="A71" s="33"/>
      <c r="B71" s="33"/>
      <c r="C71" s="33"/>
      <c r="D71" s="33"/>
      <c r="E71" s="33"/>
      <c r="F71" s="33"/>
      <c r="G71" s="33"/>
    </row>
    <row r="72" spans="1:7" x14ac:dyDescent="0.25">
      <c r="A72" s="33"/>
      <c r="B72" s="33"/>
      <c r="C72" s="33"/>
      <c r="D72" s="33"/>
      <c r="E72" s="33"/>
      <c r="F72" s="33"/>
      <c r="G72" s="33"/>
    </row>
    <row r="73" spans="1:7" x14ac:dyDescent="0.25">
      <c r="A73" s="33"/>
      <c r="B73" s="33"/>
      <c r="C73" s="33"/>
      <c r="D73" s="33"/>
      <c r="E73" s="33"/>
      <c r="F73" s="33"/>
      <c r="G73" s="33"/>
    </row>
    <row r="74" spans="1:7" x14ac:dyDescent="0.25">
      <c r="A74" s="33"/>
      <c r="B74" s="33"/>
      <c r="C74" s="33"/>
      <c r="D74" s="33"/>
      <c r="E74" s="33"/>
      <c r="F74" s="33"/>
      <c r="G74" s="33"/>
    </row>
    <row r="75" spans="1:7" x14ac:dyDescent="0.25">
      <c r="A75" s="33"/>
      <c r="B75" s="33"/>
      <c r="C75" s="33"/>
      <c r="D75" s="33"/>
      <c r="E75" s="33"/>
      <c r="F75" s="33"/>
      <c r="G75" s="33"/>
    </row>
    <row r="76" spans="1:7" x14ac:dyDescent="0.25">
      <c r="A76" s="33"/>
      <c r="B76" s="33"/>
      <c r="C76" s="33"/>
      <c r="D76" s="33"/>
      <c r="E76" s="33"/>
      <c r="F76" s="33"/>
      <c r="G76" s="33"/>
    </row>
    <row r="77" spans="1:7" x14ac:dyDescent="0.25">
      <c r="A77" s="33"/>
      <c r="B77" s="33"/>
      <c r="C77" s="33"/>
      <c r="D77" s="33"/>
      <c r="E77" s="33"/>
      <c r="F77" s="33"/>
      <c r="G77" s="33"/>
    </row>
    <row r="78" spans="1:7" x14ac:dyDescent="0.25">
      <c r="A78" s="33"/>
      <c r="B78" s="33"/>
      <c r="C78" s="33"/>
      <c r="D78" s="33"/>
      <c r="E78" s="33"/>
      <c r="F78" s="33"/>
      <c r="G78" s="33"/>
    </row>
    <row r="79" spans="1:7" x14ac:dyDescent="0.25">
      <c r="A79" s="33"/>
      <c r="B79" s="33"/>
      <c r="C79" s="33"/>
      <c r="D79" s="33"/>
      <c r="E79" s="33"/>
      <c r="F79" s="33"/>
      <c r="G79" s="33"/>
    </row>
    <row r="80" spans="1:7" x14ac:dyDescent="0.25">
      <c r="A80" s="33"/>
      <c r="B80" s="33"/>
      <c r="C80" s="33"/>
      <c r="D80" s="33"/>
      <c r="E80" s="33"/>
      <c r="F80" s="33"/>
      <c r="G80" s="33"/>
    </row>
    <row r="81" spans="1:7" x14ac:dyDescent="0.25">
      <c r="A81" s="35"/>
      <c r="B81" s="36"/>
      <c r="C81" s="36"/>
      <c r="D81" s="33"/>
      <c r="E81" s="36"/>
      <c r="F81" s="36"/>
      <c r="G81" s="36"/>
    </row>
    <row r="82" spans="1:7" x14ac:dyDescent="0.25">
      <c r="A82" s="35"/>
      <c r="B82" s="36"/>
      <c r="C82" s="36"/>
      <c r="D82" s="33"/>
      <c r="E82" s="36"/>
      <c r="F82" s="36"/>
      <c r="G82" s="36"/>
    </row>
    <row r="83" spans="1:7" x14ac:dyDescent="0.25">
      <c r="A83" s="35"/>
      <c r="B83" s="36"/>
      <c r="C83" s="36"/>
      <c r="D83" s="33"/>
      <c r="E83" s="36"/>
      <c r="F83" s="36"/>
      <c r="G83" s="36"/>
    </row>
    <row r="84" spans="1:7" x14ac:dyDescent="0.25">
      <c r="A84" s="35"/>
      <c r="B84" s="36"/>
      <c r="C84" s="36"/>
      <c r="D84" s="33"/>
      <c r="E84" s="36"/>
      <c r="F84" s="36"/>
      <c r="G84" s="36"/>
    </row>
    <row r="85" spans="1:7" x14ac:dyDescent="0.25">
      <c r="A85" s="35"/>
      <c r="B85" s="36"/>
      <c r="C85" s="36"/>
      <c r="D85" s="33"/>
      <c r="E85" s="36"/>
      <c r="F85" s="36"/>
      <c r="G85" s="36"/>
    </row>
    <row r="86" spans="1:7" x14ac:dyDescent="0.25">
      <c r="A86" s="35"/>
      <c r="B86" s="36"/>
      <c r="C86" s="36"/>
      <c r="D86" s="33"/>
      <c r="E86" s="36"/>
      <c r="F86" s="36"/>
      <c r="G86" s="36"/>
    </row>
    <row r="87" spans="1:7" x14ac:dyDescent="0.25">
      <c r="A87" s="33"/>
      <c r="B87" s="33"/>
      <c r="C87" s="33"/>
      <c r="D87" s="33"/>
      <c r="E87" s="33"/>
      <c r="F87" s="33"/>
      <c r="G87" s="33"/>
    </row>
    <row r="88" spans="1:7" x14ac:dyDescent="0.25">
      <c r="A88" s="33"/>
      <c r="B88" s="33"/>
      <c r="C88" s="33"/>
      <c r="D88" s="33"/>
      <c r="E88" s="33"/>
      <c r="F88" s="33"/>
      <c r="G88" s="33"/>
    </row>
  </sheetData>
  <sheetProtection algorithmName="SHA-512" hashValue="oL2Y6YH8K9fgjweqlLIen2dNGAHs8ZZbbDsUxsvuxmrxjujMPnxxuIwsmTj5Gy00y9NuryXi6uDTs4uY1KIZsQ==" saltValue="P6vbehrYp0dNvubb/orWJw==" spinCount="100000" sheet="1" objects="1" scenarios="1"/>
  <mergeCells count="3">
    <mergeCell ref="B4:F4"/>
    <mergeCell ref="B5:F5"/>
    <mergeCell ref="B6:F6"/>
  </mergeCells>
  <conditionalFormatting sqref="E26">
    <cfRule type="cellIs" dxfId="135" priority="5" stopIfTrue="1" operator="lessThan">
      <formula>47%</formula>
    </cfRule>
    <cfRule type="cellIs" dxfId="134" priority="6" stopIfTrue="1" operator="greaterThan">
      <formula>70%</formula>
    </cfRule>
    <cfRule type="cellIs" dxfId="133" priority="7" stopIfTrue="1" operator="between">
      <formula>47%</formula>
      <formula>70%</formula>
    </cfRule>
  </conditionalFormatting>
  <conditionalFormatting sqref="J24">
    <cfRule type="cellIs" dxfId="132" priority="4" stopIfTrue="1" operator="equal">
      <formula>"NOT ENOUGH FORCE!"</formula>
    </cfRule>
  </conditionalFormatting>
  <conditionalFormatting sqref="E24 G24 I24">
    <cfRule type="cellIs" dxfId="131" priority="3" stopIfTrue="1" operator="greaterThan">
      <formula>$B$21</formula>
    </cfRule>
  </conditionalFormatting>
  <conditionalFormatting sqref="E14 G14 I14">
    <cfRule type="cellIs" dxfId="130" priority="2" operator="equal">
      <formula>"ROLLER TOO HIGH!"</formula>
    </cfRule>
  </conditionalFormatting>
  <conditionalFormatting sqref="E18 G18 I18">
    <cfRule type="cellIs" dxfId="129" priority="1" operator="notBetween">
      <formula>$B$23</formula>
      <formula>1.25*thk</formula>
    </cfRule>
  </conditionalFormatting>
  <dataValidations disablePrompts="1" count="1">
    <dataValidation errorTitle="Roller Depth too great" error="You have engaged the rollers too far." sqref="G18 E18 I18" xr:uid="{BDD5A7BC-30C4-4E56-BA58-C84D46D6F44B}"/>
  </dataValidations>
  <pageMargins left="0.75" right="0.75" top="1" bottom="1" header="0.5" footer="0.5"/>
  <pageSetup scale="67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6434" r:id="rId4" name="CommandButton1">
          <controlPr defaultSize="0" autoLine="0" r:id="rId5">
            <anchor moveWithCells="1">
              <from>
                <xdr:col>3</xdr:col>
                <xdr:colOff>0</xdr:colOff>
                <xdr:row>13</xdr:row>
                <xdr:rowOff>266700</xdr:rowOff>
              </from>
              <to>
                <xdr:col>3</xdr:col>
                <xdr:colOff>628650</xdr:colOff>
                <xdr:row>15</xdr:row>
                <xdr:rowOff>9525</xdr:rowOff>
              </to>
            </anchor>
          </controlPr>
        </control>
      </mc:Choice>
      <mc:Fallback>
        <control shapeId="146434" r:id="rId4" name="CommandButton1"/>
      </mc:Fallback>
    </mc:AlternateContent>
    <mc:AlternateContent xmlns:mc="http://schemas.openxmlformats.org/markup-compatibility/2006">
      <mc:Choice Requires="x14">
        <control shapeId="146433" r:id="rId6" name="Spinner 1">
          <controlPr defaultSize="0" autoPict="0">
            <anchor>
              <from>
                <xdr:col>4</xdr:col>
                <xdr:colOff>28575</xdr:colOff>
                <xdr:row>14</xdr:row>
                <xdr:rowOff>0</xdr:rowOff>
              </from>
              <to>
                <xdr:col>4</xdr:col>
                <xdr:colOff>952500</xdr:colOff>
                <xdr:row>15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6435" r:id="rId7" name="Button 3">
          <controlPr defaultSize="0" print="0" autoFill="0" autoPict="0" macro="[0]!Tbl_Contents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266700</xdr:colOff>
                <xdr:row>0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6443" r:id="rId8" name="Check Box 11">
          <controlPr defaultSize="0" autoFill="0" autoLine="0" autoPict="0" altText="Confirmed">
            <anchor moveWithCells="1">
              <from>
                <xdr:col>1</xdr:col>
                <xdr:colOff>104775</xdr:colOff>
                <xdr:row>27</xdr:row>
                <xdr:rowOff>180975</xdr:rowOff>
              </from>
              <to>
                <xdr:col>1</xdr:col>
                <xdr:colOff>847725</xdr:colOff>
                <xdr:row>27</xdr:row>
                <xdr:rowOff>495300</xdr:rowOff>
              </to>
            </anchor>
          </controlPr>
        </control>
      </mc:Choice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CBAD7-3E0B-46B9-A4B1-C72ED6DDE0AB}">
  <sheetPr codeName="Sheet54">
    <tabColor rgb="FF66FF33"/>
    <pageSetUpPr fitToPage="1"/>
  </sheetPr>
  <dimension ref="A1:M88"/>
  <sheetViews>
    <sheetView zoomScale="75" zoomScaleNormal="75" workbookViewId="0">
      <selection activeCell="B28" sqref="B28"/>
    </sheetView>
  </sheetViews>
  <sheetFormatPr defaultRowHeight="15" x14ac:dyDescent="0.25"/>
  <cols>
    <col min="1" max="1" width="21.5703125" customWidth="1"/>
    <col min="2" max="2" width="15" customWidth="1"/>
    <col min="3" max="4" width="15.140625" customWidth="1"/>
    <col min="5" max="5" width="14.7109375" customWidth="1"/>
    <col min="6" max="6" width="13" customWidth="1"/>
    <col min="7" max="7" width="14.140625" customWidth="1"/>
    <col min="8" max="8" width="12.42578125" customWidth="1"/>
    <col min="9" max="9" width="14.140625" customWidth="1"/>
    <col min="10" max="10" width="12.7109375" customWidth="1"/>
    <col min="11" max="11" width="16.85546875" bestFit="1" customWidth="1"/>
  </cols>
  <sheetData>
    <row r="1" spans="1:9" ht="18.75" x14ac:dyDescent="0.3">
      <c r="A1" s="33"/>
      <c r="B1" s="42"/>
      <c r="C1" s="33"/>
      <c r="D1" s="33"/>
      <c r="E1" s="145" t="s">
        <v>0</v>
      </c>
      <c r="F1" s="33"/>
      <c r="G1" s="33"/>
      <c r="H1" s="33"/>
      <c r="I1" s="33"/>
    </row>
    <row r="2" spans="1:9" x14ac:dyDescent="0.25">
      <c r="A2" s="33"/>
      <c r="B2" s="42"/>
      <c r="C2" s="33"/>
      <c r="D2" s="33"/>
      <c r="E2" s="144" t="s">
        <v>367</v>
      </c>
      <c r="F2" s="33"/>
      <c r="G2" s="33"/>
      <c r="H2" s="33"/>
      <c r="I2" s="33"/>
    </row>
    <row r="3" spans="1:9" x14ac:dyDescent="0.25">
      <c r="A3" s="33"/>
      <c r="B3" s="33"/>
      <c r="C3" s="33"/>
      <c r="D3" s="33"/>
      <c r="E3" s="144"/>
      <c r="F3" s="33"/>
      <c r="G3" s="33"/>
      <c r="H3" s="33"/>
      <c r="I3" s="33"/>
    </row>
    <row r="4" spans="1:9" x14ac:dyDescent="0.25">
      <c r="A4" s="143" t="s">
        <v>1</v>
      </c>
      <c r="B4" s="997" t="str">
        <f>Customer</f>
        <v>ULTRATECH TOOL&amp; DESIGN, INC.</v>
      </c>
      <c r="C4" s="997"/>
      <c r="D4" s="997"/>
      <c r="E4" s="997"/>
      <c r="F4" s="997"/>
      <c r="G4" s="33"/>
      <c r="H4" s="33"/>
      <c r="I4" s="33"/>
    </row>
    <row r="5" spans="1:9" x14ac:dyDescent="0.25">
      <c r="A5" s="143" t="s">
        <v>2</v>
      </c>
      <c r="B5" s="998">
        <f>CalcDate</f>
        <v>0</v>
      </c>
      <c r="C5" s="997"/>
      <c r="D5" s="997"/>
      <c r="E5" s="997"/>
      <c r="F5" s="997"/>
      <c r="G5" s="33"/>
      <c r="H5" s="33"/>
      <c r="I5" s="33"/>
    </row>
    <row r="6" spans="1:9" x14ac:dyDescent="0.25">
      <c r="A6" s="143" t="s">
        <v>3</v>
      </c>
      <c r="B6" s="997">
        <f>Reference</f>
        <v>0</v>
      </c>
      <c r="C6" s="997"/>
      <c r="D6" s="997"/>
      <c r="E6" s="997"/>
      <c r="F6" s="997"/>
      <c r="G6" s="33"/>
      <c r="H6" s="33"/>
      <c r="I6" s="33"/>
    </row>
    <row r="8" spans="1:9" ht="16.5" customHeight="1" x14ac:dyDescent="0.25">
      <c r="A8" s="68"/>
      <c r="B8" s="123"/>
      <c r="C8" s="33"/>
      <c r="D8" s="123" t="s">
        <v>366</v>
      </c>
      <c r="E8" s="132">
        <v>-60</v>
      </c>
      <c r="F8" s="33" t="s">
        <v>365</v>
      </c>
      <c r="G8" s="33"/>
      <c r="H8" s="33"/>
      <c r="I8" s="33"/>
    </row>
    <row r="9" spans="1:9" x14ac:dyDescent="0.25">
      <c r="A9" s="142"/>
      <c r="B9" s="610"/>
      <c r="C9" s="33"/>
      <c r="D9" s="123" t="s">
        <v>364</v>
      </c>
      <c r="E9" s="132">
        <f>IF(ABS(1/$E$8)&gt;curv_at_yld, 1/((1/$E$8)-((ABS($E$8)/$E$8)*(1.5*(1-$F$32))*curv_at_yld*(1-((1/3)*(curv_at_yld/(1/$E$8))^2)))), IF($F$32=0, ABS($E$8)/$E$8*99999, $E$8/$F$32))</f>
        <v>-181.81818181818181</v>
      </c>
      <c r="F9" s="33" t="s">
        <v>363</v>
      </c>
      <c r="G9" s="33"/>
      <c r="H9" s="33"/>
      <c r="I9" s="33"/>
    </row>
    <row r="10" spans="1:9" ht="15.75" thickBot="1" x14ac:dyDescent="0.3">
      <c r="A10" s="33"/>
      <c r="B10" s="33"/>
      <c r="C10" s="33"/>
      <c r="D10" s="123" t="s">
        <v>362</v>
      </c>
      <c r="E10" s="138">
        <f>1/$E$9</f>
        <v>-5.5000000000000005E-3</v>
      </c>
      <c r="F10" s="33"/>
      <c r="G10" s="33"/>
      <c r="H10" s="33"/>
      <c r="I10" s="33"/>
    </row>
    <row r="11" spans="1:9" x14ac:dyDescent="0.25">
      <c r="A11" s="140" t="s">
        <v>361</v>
      </c>
      <c r="B11" s="451">
        <f>CoilWidth_4</f>
        <v>42</v>
      </c>
      <c r="C11" s="33" t="s">
        <v>336</v>
      </c>
      <c r="D11" s="123" t="s">
        <v>360</v>
      </c>
      <c r="E11" s="138">
        <f>2*yield/(thk*modulus)</f>
        <v>3.4482758620689655E-2</v>
      </c>
      <c r="F11" s="33"/>
      <c r="G11" s="33"/>
      <c r="H11" s="33"/>
      <c r="I11" s="33"/>
    </row>
    <row r="12" spans="1:9" x14ac:dyDescent="0.25">
      <c r="A12" s="135" t="s">
        <v>359</v>
      </c>
      <c r="B12" s="452">
        <f>Thickness_4</f>
        <v>0.06</v>
      </c>
      <c r="C12" s="36" t="s">
        <v>336</v>
      </c>
      <c r="D12" s="136" t="s">
        <v>358</v>
      </c>
      <c r="E12" s="132">
        <f>1/curv_at_yld</f>
        <v>29</v>
      </c>
      <c r="F12" s="33" t="s">
        <v>357</v>
      </c>
      <c r="G12" s="33"/>
      <c r="H12" s="33"/>
      <c r="I12" s="33"/>
    </row>
    <row r="13" spans="1:9" x14ac:dyDescent="0.25">
      <c r="A13" s="135" t="s">
        <v>356</v>
      </c>
      <c r="B13" s="453">
        <f>YieldStrength_4</f>
        <v>30000</v>
      </c>
      <c r="C13" s="130" t="s">
        <v>11</v>
      </c>
      <c r="D13" s="133" t="s">
        <v>355</v>
      </c>
      <c r="E13" s="132">
        <f>width*yield*(thk^2)/6</f>
        <v>756</v>
      </c>
      <c r="F13" s="33" t="s">
        <v>354</v>
      </c>
      <c r="G13" s="33"/>
      <c r="H13" s="33"/>
      <c r="I13" s="33"/>
    </row>
    <row r="14" spans="1:9" ht="21.75" customHeight="1" x14ac:dyDescent="0.25">
      <c r="A14" s="131" t="s">
        <v>353</v>
      </c>
      <c r="B14" s="455" t="str">
        <f>Material_4</f>
        <v>HS Steel</v>
      </c>
      <c r="C14" s="130"/>
      <c r="D14" s="130"/>
      <c r="E14" s="129" t="str">
        <f>IF(E21&gt;0,"", "ROLLER TOO HIGH!")</f>
        <v/>
      </c>
      <c r="F14" s="33"/>
      <c r="G14" s="129" t="str">
        <f>IF(G21&gt;0,"", "ROLLER TOO HIGH!")</f>
        <v/>
      </c>
      <c r="H14" s="33"/>
      <c r="I14" s="129" t="str">
        <f>IF(I21&gt;0,"", "ROLLER TOO HIGH!")</f>
        <v/>
      </c>
    </row>
    <row r="15" spans="1:9" s="125" customFormat="1" ht="21.75" customHeight="1" thickBot="1" x14ac:dyDescent="0.25">
      <c r="A15" s="128" t="s">
        <v>352</v>
      </c>
      <c r="B15" s="455" t="str">
        <f>'Str. Utility (4)'!model</f>
        <v>CPPS-507</v>
      </c>
      <c r="C15" s="127"/>
      <c r="G15" s="126">
        <f>(E18+I18)/2</f>
        <v>-0.20145670391682688</v>
      </c>
    </row>
    <row r="16" spans="1:9" ht="15" customHeight="1" thickBot="1" x14ac:dyDescent="0.3">
      <c r="A16" s="68"/>
      <c r="B16" s="33"/>
      <c r="C16" s="36"/>
      <c r="D16" s="33"/>
      <c r="E16" s="124">
        <v>9549.0865921663462</v>
      </c>
      <c r="F16" s="33"/>
      <c r="G16" s="46"/>
      <c r="H16" s="33"/>
      <c r="I16" s="46"/>
    </row>
    <row r="17" spans="1:13" ht="15.75" thickBot="1" x14ac:dyDescent="0.3">
      <c r="A17" s="123"/>
      <c r="B17" s="33"/>
      <c r="C17" s="33"/>
      <c r="D17" s="122"/>
      <c r="E17" s="121" t="s">
        <v>351</v>
      </c>
      <c r="F17" s="119"/>
      <c r="G17" s="120" t="s">
        <v>350</v>
      </c>
      <c r="H17" s="119"/>
      <c r="I17" s="118" t="s">
        <v>349</v>
      </c>
      <c r="J17" s="33"/>
      <c r="K17" s="33"/>
      <c r="L17" s="33"/>
      <c r="M17" s="65"/>
    </row>
    <row r="18" spans="1:13" ht="21.75" customHeight="1" x14ac:dyDescent="0.25">
      <c r="A18" s="117" t="s">
        <v>348</v>
      </c>
      <c r="B18" s="116">
        <f>VLOOKUP($B$15,LookupStrModel,2,FALSE)</f>
        <v>5</v>
      </c>
      <c r="C18" s="71" t="s">
        <v>336</v>
      </c>
      <c r="D18" s="115" t="s">
        <v>347</v>
      </c>
      <c r="E18" s="114">
        <f>IF((E16-10000)/1000&lt;$B23, "TOO DEEP!", (E16-10000)/1000)</f>
        <v>-0.45091340783365375</v>
      </c>
      <c r="F18" s="112"/>
      <c r="G18" s="113">
        <f>E18+((I18-E18)/2)</f>
        <v>-0.20145670391682688</v>
      </c>
      <c r="H18" s="112"/>
      <c r="I18" s="111">
        <f>thk*0.8</f>
        <v>4.8000000000000001E-2</v>
      </c>
      <c r="J18" s="110">
        <f>10000+(I18*1000)</f>
        <v>10048</v>
      </c>
      <c r="K18" s="33"/>
      <c r="L18" s="33"/>
      <c r="M18" s="65"/>
    </row>
    <row r="19" spans="1:13" ht="25.5" x14ac:dyDescent="0.25">
      <c r="A19" s="102" t="s">
        <v>346</v>
      </c>
      <c r="B19" s="98">
        <f>VLOOKUP($B$15,LookupStrModel,3,FALSE)</f>
        <v>9</v>
      </c>
      <c r="C19" s="71" t="s">
        <v>336</v>
      </c>
      <c r="D19" s="85" t="s">
        <v>345</v>
      </c>
      <c r="E19" s="109">
        <f>(1.314-$D$32*thk+$D$33*E18)*((-0.25*cent_dist^2)-(E18^2)+(2*E18*thk)-thk^2)/(4*(E18+0.00000001)-4*thk)</f>
        <v>12.264902306132052</v>
      </c>
      <c r="F19" s="93">
        <f>-E19</f>
        <v>-12.264902306132052</v>
      </c>
      <c r="G19" s="93">
        <f>((-0.25*cent_dist^2)-($G$18^2)+(2*$G$18*thk)-thk^2)/(4*($G$18+0.00000001)-4*thk)</f>
        <v>19.428035388612585</v>
      </c>
      <c r="H19" s="93">
        <f>-G19</f>
        <v>-19.428035388612585</v>
      </c>
      <c r="I19" s="108">
        <f>(1.314-$D$32*thk+$D$33*I18)*((-0.25*cent_dist^2)-(I18^2)+(2*I18*thk)-thk^2)/(4*(I18+0.00000001)-4*thk)</f>
        <v>553.43689671741413</v>
      </c>
      <c r="J19" s="33"/>
      <c r="K19" s="33"/>
      <c r="L19" s="33"/>
      <c r="M19" s="33"/>
    </row>
    <row r="20" spans="1:13" ht="25.5" x14ac:dyDescent="0.25">
      <c r="A20" s="102" t="s">
        <v>344</v>
      </c>
      <c r="B20" s="107">
        <f>VLOOKUP($B$14,LookupMaterial,3, FALSE)</f>
        <v>29000000</v>
      </c>
      <c r="C20" s="71" t="s">
        <v>11</v>
      </c>
      <c r="D20" s="106" t="s">
        <v>343</v>
      </c>
      <c r="E20" s="105" t="s">
        <v>277</v>
      </c>
      <c r="F20" s="104" t="s">
        <v>278</v>
      </c>
      <c r="G20" s="104" t="s">
        <v>277</v>
      </c>
      <c r="H20" s="104" t="s">
        <v>278</v>
      </c>
      <c r="I20" s="103" t="s">
        <v>277</v>
      </c>
      <c r="J20" s="33"/>
      <c r="K20" s="33"/>
      <c r="L20" s="33"/>
      <c r="M20" s="33"/>
    </row>
    <row r="21" spans="1:13" ht="27.75" customHeight="1" x14ac:dyDescent="0.25">
      <c r="A21" s="102" t="s">
        <v>342</v>
      </c>
      <c r="B21" s="101">
        <f>VLOOKUP($B$15,LookupStrModel,5)</f>
        <v>60000</v>
      </c>
      <c r="C21" s="100" t="s">
        <v>341</v>
      </c>
      <c r="D21" s="85" t="s">
        <v>340</v>
      </c>
      <c r="E21" s="88">
        <f>1/E19-$E$10</f>
        <v>8.7033466393778985E-2</v>
      </c>
      <c r="F21" s="87">
        <f>1/F19-1/E28</f>
        <v>-0.11404926629609272</v>
      </c>
      <c r="G21" s="87">
        <f>1/G19-1/F28</f>
        <v>8.2857463137669882E-2</v>
      </c>
      <c r="H21" s="87">
        <f>1/H19-1/G28</f>
        <v>-5.4206036541953447E-2</v>
      </c>
      <c r="I21" s="86">
        <f>1/I19-1/H28</f>
        <v>8.5319536377036018E-3</v>
      </c>
      <c r="J21" s="33"/>
      <c r="K21" s="33"/>
      <c r="L21" s="33"/>
      <c r="M21" s="33"/>
    </row>
    <row r="22" spans="1:13" ht="45" customHeight="1" x14ac:dyDescent="0.25">
      <c r="A22" s="99" t="s">
        <v>339</v>
      </c>
      <c r="B22" s="98">
        <f>VLOOKUP($B$15,LookupStrModel,6)</f>
        <v>-1.25</v>
      </c>
      <c r="C22" s="71" t="s">
        <v>336</v>
      </c>
      <c r="D22" s="97" t="s">
        <v>338</v>
      </c>
      <c r="E22" s="94">
        <f>IF(ABS(E21)&lt;curv_at_yld, (modulus*width*thk^3)/(12)*(E21), (ABS(E21)/E21)*1.5*My*(1-1/3*((curv_at_yld/E21)^2)))</f>
        <v>1074.6633201588841</v>
      </c>
      <c r="F22" s="93">
        <f>IF(ABS(F21)&lt;curv_at_yld, (modulus*width*thk^3)/(12)*(F21), (ABS(F21)/F21)*1.5*My*(1-1/3*((curv_at_yld/F21)^2)))</f>
        <v>-1099.4450067381074</v>
      </c>
      <c r="G22" s="93">
        <f>IF(ABS(G21)&lt;curv_at_yld, (modulus*width*thk^3)/(12)*(G21), (ABS(G21)/G21)*1.5*My*(1-1/3*((curv_at_yld/G21)^2)))</f>
        <v>1068.5314775565557</v>
      </c>
      <c r="H22" s="93">
        <f>IF(ABS(H21)&lt;curv_at_yld, (modulus*width*thk^3)/(12)*(H21), (ABS(H21)/H21)*1.5*My*(1-1/3*((curv_at_yld/H21)^2)))</f>
        <v>-981.03203222928266</v>
      </c>
      <c r="I22" s="92">
        <f>IF(ABS(I21)&lt;curv_at_yld, (modulus*width*thk^3)/(12)*(I21), (ABS(I21)/I21)*1.5*My*(1-1/3*((curv_at_yld/I21)^2)))</f>
        <v>187.05455155301377</v>
      </c>
      <c r="J22" s="33"/>
      <c r="K22" s="33"/>
      <c r="L22" s="33"/>
      <c r="M22" s="33"/>
    </row>
    <row r="23" spans="1:13" ht="45" customHeight="1" thickBot="1" x14ac:dyDescent="0.3">
      <c r="A23" s="96" t="s">
        <v>337</v>
      </c>
      <c r="B23" s="95">
        <f>IF((B$18+thk)^2-(cent_dist/2)^2&lt;0, B22, IF(B$18-SQRT((B$18+thk)^2-(cent_dist/2)^2)&lt;-B22, -B$18+SQRT((B$18+thk)^2-(cent_dist/2)^2), B22))</f>
        <v>-1.25</v>
      </c>
      <c r="C23" s="71" t="s">
        <v>336</v>
      </c>
      <c r="D23" s="85" t="s">
        <v>335</v>
      </c>
      <c r="E23" s="88">
        <f>E22/My</f>
        <v>1.4215123282524922</v>
      </c>
      <c r="F23" s="87">
        <f>F22/My</f>
        <v>-1.4542923369551686</v>
      </c>
      <c r="G23" s="87">
        <f>G22/My</f>
        <v>1.4134014253393594</v>
      </c>
      <c r="H23" s="87">
        <f>H22/My</f>
        <v>-1.297661418292702</v>
      </c>
      <c r="I23" s="86">
        <f>I22/My</f>
        <v>0.24742665549340445</v>
      </c>
      <c r="J23" s="33"/>
      <c r="K23" s="33"/>
      <c r="L23" s="33"/>
      <c r="M23" s="33"/>
    </row>
    <row r="24" spans="1:13" ht="45" customHeight="1" thickBot="1" x14ac:dyDescent="0.3">
      <c r="A24" s="72"/>
      <c r="B24" s="71"/>
      <c r="C24" s="71"/>
      <c r="D24" s="85" t="s">
        <v>334</v>
      </c>
      <c r="E24" s="94">
        <f>E22*5.333/cent_dist</f>
        <v>636.79772071192542</v>
      </c>
      <c r="F24" s="93"/>
      <c r="G24" s="93">
        <f>G22*5.333/cent_dist</f>
        <v>633.16426331212358</v>
      </c>
      <c r="H24" s="93"/>
      <c r="I24" s="92">
        <f>I22*5.3333/cent_dist</f>
        <v>110.84644886640983</v>
      </c>
      <c r="J24" s="91" t="str">
        <f>IF(E24&gt;B21, "NOT ENOUGH FORCE!", IF(G24&gt;B21, "NOT ENOUGH FORCE!", IF(I24&gt;B21, "NOT ENOUGH FORCE!", "")))</f>
        <v/>
      </c>
      <c r="K24" s="33"/>
      <c r="L24" s="33"/>
      <c r="M24" s="33"/>
    </row>
    <row r="25" spans="1:13" ht="50.25" customHeight="1" x14ac:dyDescent="0.25">
      <c r="A25" s="90" t="s">
        <v>333</v>
      </c>
      <c r="B25" s="89">
        <f>-(1.5*rad_at_yld-thk-SQRT(ABS(((1.5*rad_at_yld)^2)-(cent_dist/2)^2)))</f>
        <v>-0.1733846944321229</v>
      </c>
      <c r="C25" s="81" t="str">
        <f>IF(B25&gt;B23, "OK", "WILL NOT STRAIGHTEN")</f>
        <v>OK</v>
      </c>
      <c r="D25" s="85" t="s">
        <v>332</v>
      </c>
      <c r="E25" s="88">
        <f>-curv_at_yld*E23</f>
        <v>-4.9017666491465245E-2</v>
      </c>
      <c r="F25" s="87">
        <f>-curv_at_yld*F23</f>
        <v>5.0148011619143743E-2</v>
      </c>
      <c r="G25" s="87">
        <f>-curv_at_yld*G23</f>
        <v>-4.8737980184115841E-2</v>
      </c>
      <c r="H25" s="87">
        <f>-curv_at_yld*H23</f>
        <v>4.4746945458369033E-2</v>
      </c>
      <c r="I25" s="86">
        <f>-curv_at_yld*I23</f>
        <v>-8.5319536377036018E-3</v>
      </c>
      <c r="J25" s="33"/>
      <c r="K25" s="33"/>
      <c r="L25" s="33"/>
      <c r="M25" s="33"/>
    </row>
    <row r="26" spans="1:13" ht="51.75" customHeight="1" x14ac:dyDescent="0.25">
      <c r="A26" s="626" t="s">
        <v>331</v>
      </c>
      <c r="B26" s="627">
        <f>(16*yield*width*thk^2)/(15*cent_dist)</f>
        <v>537.6</v>
      </c>
      <c r="C26" s="81" t="str">
        <f>IF(B26&lt;B21, "OK", "NOT ENOUGH FORCE")</f>
        <v>OK</v>
      </c>
      <c r="D26" s="85" t="s">
        <v>330</v>
      </c>
      <c r="E26" s="84">
        <f>IF(curv_at_yld&lt;ABS(E21),1-ABS(curv_at_yld/E21), "NONE")</f>
        <v>0.6037988598009647</v>
      </c>
      <c r="F26" s="83">
        <f>IF(curv_at_yld&lt;ABS(F21),1-ABS(curv_at_yld/F21), "NONE")</f>
        <v>0.69765032480642075</v>
      </c>
      <c r="G26" s="83">
        <f>IF(curv_at_yld&lt;ABS(G21),1-ABS(curv_at_yld/G21), "NONE")</f>
        <v>0.58383038395231057</v>
      </c>
      <c r="H26" s="83">
        <f>IF(curv_at_yld&lt;ABS(H21),1-ABS(curv_at_yld/H21), "NONE")</f>
        <v>0.36385759187537559</v>
      </c>
      <c r="I26" s="82" t="str">
        <f>IF(curv_at_yld&lt;ABS(I21),1-ABS(curv_at_yld/I21), "NONE")</f>
        <v>NONE</v>
      </c>
      <c r="J26" s="33"/>
      <c r="K26" s="33"/>
      <c r="L26" s="33"/>
      <c r="M26" s="33"/>
    </row>
    <row r="27" spans="1:13" ht="51.75" customHeight="1" thickBot="1" x14ac:dyDescent="0.3">
      <c r="A27" s="624" t="s">
        <v>1119</v>
      </c>
      <c r="B27" s="625" t="str">
        <f>IF(AND(E26&gt;=BackbendMin, E26&lt;=BackbendMax), IF(AND(E26 &lt;= BackbendConfirm, B28=FALSE), BackbendNCText, BackbendOKText), BackbendNOText)</f>
        <v>OK</v>
      </c>
      <c r="C27" s="81"/>
      <c r="D27" s="80" t="s">
        <v>329</v>
      </c>
      <c r="E27" s="79">
        <f>IF(E26&lt;&gt;"None",1/(1-E26),"")</f>
        <v>2.5239705254195908</v>
      </c>
      <c r="F27" s="78"/>
      <c r="G27" s="78">
        <f>IF(G26&lt;&gt;"NONE",1/(1-G26),"")</f>
        <v>2.4028664309924266</v>
      </c>
      <c r="H27" s="78"/>
      <c r="I27" s="77" t="str">
        <f>IF(I26&lt;&gt;"NONE",1/(1-I26),"")</f>
        <v/>
      </c>
      <c r="J27" s="33"/>
      <c r="K27" s="33"/>
      <c r="L27" s="33"/>
      <c r="M27" s="33"/>
    </row>
    <row r="28" spans="1:13" ht="51.75" customHeight="1" thickBot="1" x14ac:dyDescent="0.3">
      <c r="A28" s="72"/>
      <c r="B28" s="689" t="b">
        <v>0</v>
      </c>
      <c r="C28" s="71"/>
      <c r="D28" s="76" t="s">
        <v>328</v>
      </c>
      <c r="E28" s="75">
        <f>1/((1/E19)+E25)</f>
        <v>30.754279550380758</v>
      </c>
      <c r="F28" s="74">
        <f>1/((1/F19)+F25)</f>
        <v>-31.861892943102081</v>
      </c>
      <c r="G28" s="74">
        <f>1/((1/G19)+G25)</f>
        <v>365.76067785645847</v>
      </c>
      <c r="H28" s="74">
        <f>1/((1/H19)+H25)</f>
        <v>-148.69749386377271</v>
      </c>
      <c r="I28" s="73">
        <f>IF(ABS((1/I19)+I25)&lt;0.00001, "FLAT", 1/((1/I19)+I25))</f>
        <v>-148.69749386377273</v>
      </c>
      <c r="J28" s="33"/>
      <c r="K28" s="33"/>
      <c r="L28" s="33"/>
      <c r="M28" s="33"/>
    </row>
    <row r="29" spans="1:13" ht="45.6" customHeight="1" x14ac:dyDescent="0.25">
      <c r="A29" s="72"/>
      <c r="B29" s="71"/>
      <c r="C29" s="71"/>
      <c r="D29" s="70"/>
      <c r="E29" s="69"/>
      <c r="F29" s="69"/>
      <c r="G29" s="69"/>
      <c r="H29" s="69"/>
      <c r="I29" s="69"/>
      <c r="J29" s="33"/>
      <c r="K29" s="33"/>
      <c r="L29" s="33"/>
      <c r="M29" s="33"/>
    </row>
    <row r="30" spans="1:13" x14ac:dyDescent="0.25">
      <c r="A30" s="33"/>
      <c r="B30" s="33"/>
      <c r="C30" s="33"/>
      <c r="D30" s="33"/>
      <c r="E30" s="33"/>
      <c r="F30" s="33"/>
      <c r="G30" s="33"/>
      <c r="H30" s="33"/>
      <c r="I30" s="33"/>
      <c r="J30" s="33"/>
      <c r="K30" s="33"/>
      <c r="L30" s="33"/>
      <c r="M30" s="33"/>
    </row>
    <row r="31" spans="1:13" x14ac:dyDescent="0.25">
      <c r="A31" s="33"/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3"/>
      <c r="M31" s="33"/>
    </row>
    <row r="32" spans="1:13" hidden="1" x14ac:dyDescent="0.25">
      <c r="A32" s="46"/>
      <c r="B32" s="46"/>
      <c r="C32" s="46" t="s">
        <v>169</v>
      </c>
      <c r="D32" s="37">
        <f>VLOOKUP($B$15,LookupStrModel,7,FALSE)</f>
        <v>0.18</v>
      </c>
      <c r="E32" s="68" t="s">
        <v>327</v>
      </c>
      <c r="F32" s="67">
        <v>0.33</v>
      </c>
      <c r="G32" s="33">
        <f>E19/H33</f>
        <v>1.0530898876644419</v>
      </c>
      <c r="H32" s="33" t="s">
        <v>326</v>
      </c>
      <c r="I32" s="33" t="s">
        <v>293</v>
      </c>
      <c r="J32" s="33" t="s">
        <v>292</v>
      </c>
      <c r="K32" s="33" t="s">
        <v>291</v>
      </c>
      <c r="L32" s="33"/>
      <c r="M32" s="33"/>
    </row>
    <row r="33" spans="1:13" hidden="1" x14ac:dyDescent="0.25">
      <c r="A33" s="46"/>
      <c r="B33" s="46"/>
      <c r="C33" s="46" t="s">
        <v>166</v>
      </c>
      <c r="D33" s="37">
        <f>VLOOKUP($B$15,LookupStrModel,8,FALSE)</f>
        <v>0.18</v>
      </c>
      <c r="E33" s="33"/>
      <c r="F33" s="33"/>
      <c r="G33" s="33"/>
      <c r="H33" s="65">
        <f>rad_at_yld/2.49</f>
        <v>11.646586345381525</v>
      </c>
      <c r="I33" s="65">
        <f>H33-(SQRT(((H33+(thk/4))^2)-((cent_dist/4)^2)))</f>
        <v>0.20411737706927369</v>
      </c>
      <c r="J33" s="65">
        <f>ABS(I33)*-2 * 1.07</f>
        <v>-0.43681118692824572</v>
      </c>
      <c r="K33" s="65">
        <f>10000+(L41*1000)</f>
        <v>9549.0865921663462</v>
      </c>
      <c r="L33" s="33">
        <f>10000+(B22*1000)</f>
        <v>8750</v>
      </c>
      <c r="M33" s="33">
        <f>IF(K33&gt;L33,K33,L33)</f>
        <v>9549.0865921663462</v>
      </c>
    </row>
    <row r="34" spans="1:13" hidden="1" x14ac:dyDescent="0.25">
      <c r="A34" s="46"/>
      <c r="B34" s="46"/>
      <c r="C34" s="33"/>
      <c r="D34" s="33"/>
      <c r="E34" s="33"/>
      <c r="F34" s="33"/>
      <c r="G34" s="33"/>
      <c r="H34" s="33"/>
      <c r="I34" s="65">
        <f>H33-(SQRT(((H33+(thk/4))*((H33+(thk/4)))-(((cent_dist/4)*(cent_dist/4))))))</f>
        <v>0.20411737706927369</v>
      </c>
      <c r="J34" s="33"/>
      <c r="K34" s="33"/>
      <c r="L34" s="33"/>
      <c r="M34" s="33"/>
    </row>
    <row r="35" spans="1:13" hidden="1" x14ac:dyDescent="0.25">
      <c r="A35" s="46"/>
      <c r="B35" s="46"/>
      <c r="C35" s="33"/>
      <c r="D35" s="33"/>
      <c r="E35" s="33"/>
      <c r="F35" s="33"/>
      <c r="G35" s="33"/>
      <c r="H35" s="33"/>
      <c r="I35" s="65">
        <f>(SQRT(((H33+(thk/4))*((H33+(thk/4)))-(((cent_dist/4)*(cent_dist/4))))))</f>
        <v>11.442468968312252</v>
      </c>
      <c r="J35" s="65">
        <f>I35-H33</f>
        <v>-0.20411737706927369</v>
      </c>
      <c r="K35" s="33"/>
      <c r="L35" s="33"/>
      <c r="M35" s="33"/>
    </row>
    <row r="36" spans="1:13" hidden="1" x14ac:dyDescent="0.25">
      <c r="A36" s="46"/>
      <c r="B36" s="46"/>
      <c r="C36" s="33"/>
      <c r="D36" s="33"/>
      <c r="E36" s="33"/>
      <c r="F36" s="33"/>
      <c r="G36" s="33"/>
      <c r="H36" s="33"/>
      <c r="I36" s="33">
        <v>4</v>
      </c>
      <c r="J36" s="33">
        <v>8</v>
      </c>
      <c r="K36" s="33">
        <v>2</v>
      </c>
      <c r="L36" s="33">
        <v>3</v>
      </c>
      <c r="M36" s="33"/>
    </row>
    <row r="37" spans="1:13" hidden="1" x14ac:dyDescent="0.25">
      <c r="A37" s="46"/>
      <c r="B37" s="46"/>
      <c r="C37" s="33"/>
      <c r="D37" s="33"/>
      <c r="E37" s="33"/>
      <c r="F37" s="33"/>
      <c r="G37" s="33"/>
      <c r="H37" s="33" t="s">
        <v>276</v>
      </c>
      <c r="I37" s="65">
        <f>SQRT(((I39)^2)-((I38)^2))</f>
        <v>11.42718134538992</v>
      </c>
      <c r="J37" s="65">
        <f>SQRT(((J39)^2)-((J38)^2))</f>
        <v>11.592124417052613</v>
      </c>
      <c r="K37" s="65">
        <f>SQRT(((K39)^2)-((K38)^2))</f>
        <v>10.742112152664735</v>
      </c>
      <c r="L37" s="65">
        <f>SQRT(((L39)^2)-((L38)^2))</f>
        <v>11.25357603166333</v>
      </c>
      <c r="M37" s="33"/>
    </row>
    <row r="38" spans="1:13" hidden="1" x14ac:dyDescent="0.25">
      <c r="A38" s="33"/>
      <c r="B38" s="46"/>
      <c r="C38" s="33"/>
      <c r="D38" s="33"/>
      <c r="E38" s="33"/>
      <c r="F38" s="33"/>
      <c r="G38" s="33"/>
      <c r="H38" s="33" t="s">
        <v>271</v>
      </c>
      <c r="I38" s="65">
        <f>cent_dist/4</f>
        <v>2.25</v>
      </c>
      <c r="J38" s="65">
        <f>cent_dist/8</f>
        <v>1.125</v>
      </c>
      <c r="K38" s="65">
        <f>cent_dist/2</f>
        <v>4.5</v>
      </c>
      <c r="L38" s="65">
        <f>cent_dist/3</f>
        <v>3</v>
      </c>
      <c r="M38" s="33"/>
    </row>
    <row r="39" spans="1:13" hidden="1" x14ac:dyDescent="0.25">
      <c r="A39" s="33"/>
      <c r="B39" s="46"/>
      <c r="C39" s="33"/>
      <c r="D39" s="33"/>
      <c r="E39" s="33"/>
      <c r="F39" s="33"/>
      <c r="G39" s="33"/>
      <c r="H39" s="33" t="s">
        <v>325</v>
      </c>
      <c r="I39" s="65">
        <f>H33</f>
        <v>11.646586345381525</v>
      </c>
      <c r="J39" s="65">
        <f>H33</f>
        <v>11.646586345381525</v>
      </c>
      <c r="K39" s="65">
        <f>H33</f>
        <v>11.646586345381525</v>
      </c>
      <c r="L39" s="65">
        <f>H33</f>
        <v>11.646586345381525</v>
      </c>
      <c r="M39" s="33"/>
    </row>
    <row r="40" spans="1:13" hidden="1" x14ac:dyDescent="0.25">
      <c r="A40" s="33"/>
      <c r="B40" s="46"/>
      <c r="C40" s="33"/>
      <c r="D40" s="33"/>
      <c r="E40" s="33"/>
      <c r="F40" s="33"/>
      <c r="G40" s="33"/>
      <c r="H40" s="33" t="s">
        <v>324</v>
      </c>
      <c r="I40" s="65">
        <f>(I39-I37) *2</f>
        <v>0.43880999998321002</v>
      </c>
      <c r="J40" s="65">
        <f>(J39-J37) *4</f>
        <v>0.21784771331564912</v>
      </c>
      <c r="K40" s="65">
        <f>(K39-K37) *1</f>
        <v>0.90447419271679053</v>
      </c>
      <c r="L40" s="65">
        <f>(L39-L37) *1.3</f>
        <v>0.51091340783365335</v>
      </c>
      <c r="M40" s="33"/>
    </row>
    <row r="41" spans="1:13" hidden="1" x14ac:dyDescent="0.25">
      <c r="A41" s="33"/>
      <c r="B41" s="46"/>
      <c r="C41" s="33"/>
      <c r="D41" s="33"/>
      <c r="E41" s="33"/>
      <c r="F41" s="33"/>
      <c r="G41" s="33"/>
      <c r="H41" s="33" t="s">
        <v>263</v>
      </c>
      <c r="I41" s="65">
        <f>thk-I40</f>
        <v>-0.37880999998321002</v>
      </c>
      <c r="J41" s="65">
        <f>thk-J40</f>
        <v>-0.15784771331564912</v>
      </c>
      <c r="K41" s="65">
        <f>thk-K40</f>
        <v>-0.84447419271679047</v>
      </c>
      <c r="L41" s="65">
        <f>thk-L40</f>
        <v>-0.45091340783365336</v>
      </c>
      <c r="M41" s="33"/>
    </row>
    <row r="42" spans="1:13" hidden="1" x14ac:dyDescent="0.25">
      <c r="A42" s="33"/>
      <c r="B42" s="46"/>
      <c r="C42" s="33"/>
      <c r="D42" s="33"/>
      <c r="E42" s="33"/>
      <c r="F42" s="33"/>
      <c r="G42" s="33"/>
      <c r="H42" s="66">
        <f>E19</f>
        <v>12.264902306132052</v>
      </c>
      <c r="I42" s="65">
        <f>H42-(SQRT(((H42+(thk/4))^2)-((cent_dist/4)^2)))</f>
        <v>0.19288919115627046</v>
      </c>
      <c r="J42" s="65">
        <f>ABS(I42)*-2</f>
        <v>-0.38577838231254091</v>
      </c>
      <c r="K42" s="33"/>
      <c r="L42" s="33"/>
      <c r="M42" s="33"/>
    </row>
    <row r="43" spans="1:13" hidden="1" x14ac:dyDescent="0.25">
      <c r="A43" s="33"/>
      <c r="B43" s="46"/>
      <c r="C43" s="33"/>
      <c r="D43" s="33"/>
      <c r="E43" s="33"/>
      <c r="F43" s="33"/>
      <c r="G43" s="33"/>
      <c r="H43" s="33"/>
      <c r="I43" s="33"/>
      <c r="J43" s="65">
        <f>E18/J42</f>
        <v>1.1688405273791191</v>
      </c>
      <c r="K43" s="33"/>
      <c r="L43" s="33"/>
      <c r="M43" s="33"/>
    </row>
    <row r="44" spans="1:13" hidden="1" x14ac:dyDescent="0.25">
      <c r="A44" s="33"/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 t="s">
        <v>323</v>
      </c>
      <c r="M44" s="33"/>
    </row>
    <row r="45" spans="1:13" hidden="1" x14ac:dyDescent="0.25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 t="s">
        <v>322</v>
      </c>
      <c r="M45" s="33"/>
    </row>
    <row r="46" spans="1:13" hidden="1" x14ac:dyDescent="0.25">
      <c r="A46" s="33"/>
      <c r="B46" s="46"/>
      <c r="C46" s="33"/>
      <c r="D46" s="33"/>
      <c r="E46" s="33"/>
      <c r="F46" s="33"/>
      <c r="G46" s="33"/>
      <c r="H46" s="33"/>
      <c r="I46" s="33"/>
      <c r="J46" s="33"/>
      <c r="K46" s="33"/>
      <c r="L46" s="33" t="s">
        <v>321</v>
      </c>
      <c r="M46" s="33"/>
    </row>
    <row r="47" spans="1:13" hidden="1" x14ac:dyDescent="0.25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 t="s">
        <v>320</v>
      </c>
      <c r="M47" s="33"/>
    </row>
    <row r="48" spans="1:13" hidden="1" x14ac:dyDescent="0.25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 t="s">
        <v>319</v>
      </c>
      <c r="M48" s="33"/>
    </row>
    <row r="49" spans="1:7" hidden="1" x14ac:dyDescent="0.25">
      <c r="A49" s="33"/>
      <c r="B49" s="33"/>
      <c r="C49" s="33"/>
      <c r="D49" s="33"/>
      <c r="E49" s="33"/>
      <c r="F49" s="33"/>
      <c r="G49" s="33"/>
    </row>
    <row r="50" spans="1:7" x14ac:dyDescent="0.25">
      <c r="A50" s="33"/>
      <c r="B50" s="33"/>
      <c r="C50" s="33"/>
      <c r="D50" s="33"/>
      <c r="E50" s="33"/>
      <c r="F50" s="33"/>
      <c r="G50" s="33"/>
    </row>
    <row r="51" spans="1:7" x14ac:dyDescent="0.25">
      <c r="A51" s="33"/>
      <c r="B51" s="33"/>
      <c r="C51" s="33"/>
      <c r="D51" s="33"/>
      <c r="E51" s="33"/>
      <c r="F51" s="33"/>
      <c r="G51" s="33"/>
    </row>
    <row r="52" spans="1:7" x14ac:dyDescent="0.25">
      <c r="A52" s="33"/>
      <c r="B52" s="33"/>
      <c r="C52" s="33"/>
      <c r="D52" s="33"/>
      <c r="E52" s="33"/>
      <c r="F52" s="33"/>
      <c r="G52" s="33"/>
    </row>
    <row r="53" spans="1:7" x14ac:dyDescent="0.25">
      <c r="A53" s="33"/>
      <c r="B53" s="33"/>
      <c r="C53" s="33"/>
      <c r="D53" s="33"/>
      <c r="E53" s="33"/>
      <c r="F53" s="33"/>
      <c r="G53" s="33"/>
    </row>
    <row r="54" spans="1:7" x14ac:dyDescent="0.25">
      <c r="A54" s="33"/>
      <c r="B54" s="33"/>
      <c r="C54" s="33"/>
      <c r="D54" s="33"/>
      <c r="E54" s="33"/>
      <c r="F54" s="33"/>
      <c r="G54" s="33"/>
    </row>
    <row r="55" spans="1:7" x14ac:dyDescent="0.25">
      <c r="A55" s="33"/>
      <c r="B55" s="33"/>
      <c r="C55" s="33"/>
      <c r="D55" s="33"/>
      <c r="E55" s="33"/>
      <c r="F55" s="33"/>
      <c r="G55" s="33"/>
    </row>
    <row r="56" spans="1:7" x14ac:dyDescent="0.25">
      <c r="A56" s="33"/>
      <c r="B56" s="33"/>
      <c r="C56" s="33"/>
      <c r="D56" s="33"/>
      <c r="E56" s="33"/>
      <c r="F56" s="33"/>
      <c r="G56" s="33"/>
    </row>
    <row r="57" spans="1:7" x14ac:dyDescent="0.25">
      <c r="A57" s="35"/>
      <c r="B57" s="36"/>
      <c r="C57" s="36"/>
      <c r="D57" s="33"/>
      <c r="E57" s="36"/>
      <c r="F57" s="36"/>
      <c r="G57" s="33"/>
    </row>
    <row r="58" spans="1:7" x14ac:dyDescent="0.25">
      <c r="A58" s="35"/>
      <c r="B58" s="36"/>
      <c r="C58" s="36"/>
      <c r="D58" s="33"/>
      <c r="E58" s="36"/>
      <c r="F58" s="36"/>
      <c r="G58" s="36"/>
    </row>
    <row r="59" spans="1:7" x14ac:dyDescent="0.25">
      <c r="A59" s="35"/>
      <c r="B59" s="36"/>
      <c r="C59" s="36"/>
      <c r="D59" s="33"/>
      <c r="E59" s="36"/>
      <c r="F59" s="36"/>
      <c r="G59" s="36"/>
    </row>
    <row r="60" spans="1:7" x14ac:dyDescent="0.25">
      <c r="A60" s="35"/>
      <c r="B60" s="36"/>
      <c r="C60" s="36"/>
      <c r="D60" s="33"/>
      <c r="E60" s="36"/>
      <c r="F60" s="36"/>
      <c r="G60" s="36"/>
    </row>
    <row r="61" spans="1:7" x14ac:dyDescent="0.25">
      <c r="A61" s="35"/>
      <c r="B61" s="36"/>
      <c r="C61" s="36"/>
      <c r="D61" s="33"/>
      <c r="E61" s="36"/>
      <c r="F61" s="36"/>
      <c r="G61" s="36"/>
    </row>
    <row r="62" spans="1:7" x14ac:dyDescent="0.25">
      <c r="A62" s="35"/>
      <c r="B62" s="36"/>
      <c r="C62" s="36"/>
      <c r="D62" s="33"/>
      <c r="E62" s="36"/>
      <c r="F62" s="36"/>
      <c r="G62" s="36"/>
    </row>
    <row r="63" spans="1:7" x14ac:dyDescent="0.25">
      <c r="A63" s="35"/>
      <c r="B63" s="36"/>
      <c r="C63" s="36"/>
      <c r="D63" s="33"/>
      <c r="E63" s="36"/>
      <c r="F63" s="36"/>
      <c r="G63" s="36"/>
    </row>
    <row r="64" spans="1:7" x14ac:dyDescent="0.25">
      <c r="A64" s="35"/>
      <c r="B64" s="36"/>
      <c r="C64" s="36"/>
      <c r="D64" s="33"/>
      <c r="E64" s="36"/>
      <c r="F64" s="33"/>
      <c r="G64" s="33"/>
    </row>
    <row r="65" spans="1:7" x14ac:dyDescent="0.25">
      <c r="A65" s="35"/>
      <c r="B65" s="36"/>
      <c r="C65" s="36"/>
      <c r="D65" s="33"/>
      <c r="E65" s="36"/>
      <c r="F65" s="36"/>
      <c r="G65" s="36"/>
    </row>
    <row r="66" spans="1:7" x14ac:dyDescent="0.25">
      <c r="A66" s="33"/>
      <c r="B66" s="33"/>
      <c r="C66" s="33"/>
      <c r="D66" s="33"/>
      <c r="E66" s="33"/>
      <c r="F66" s="33"/>
      <c r="G66" s="33"/>
    </row>
    <row r="67" spans="1:7" x14ac:dyDescent="0.25">
      <c r="A67" s="33"/>
      <c r="B67" s="33"/>
      <c r="C67" s="33"/>
      <c r="D67" s="33"/>
      <c r="E67" s="33"/>
      <c r="F67" s="33"/>
      <c r="G67" s="33"/>
    </row>
    <row r="68" spans="1:7" x14ac:dyDescent="0.25">
      <c r="A68" s="33"/>
      <c r="B68" s="33"/>
      <c r="C68" s="33"/>
      <c r="D68" s="33"/>
      <c r="E68" s="33"/>
      <c r="F68" s="33"/>
      <c r="G68" s="33"/>
    </row>
    <row r="69" spans="1:7" x14ac:dyDescent="0.25">
      <c r="A69" s="33"/>
      <c r="B69" s="33"/>
      <c r="C69" s="33"/>
      <c r="D69" s="33"/>
      <c r="E69" s="33"/>
      <c r="F69" s="33"/>
      <c r="G69" s="33"/>
    </row>
    <row r="70" spans="1:7" x14ac:dyDescent="0.25">
      <c r="A70" s="33"/>
      <c r="B70" s="33"/>
      <c r="C70" s="33"/>
      <c r="D70" s="33"/>
      <c r="E70" s="33"/>
      <c r="F70" s="33"/>
      <c r="G70" s="33"/>
    </row>
    <row r="71" spans="1:7" x14ac:dyDescent="0.25">
      <c r="A71" s="33"/>
      <c r="B71" s="33"/>
      <c r="C71" s="33"/>
      <c r="D71" s="33"/>
      <c r="E71" s="33"/>
      <c r="F71" s="33"/>
      <c r="G71" s="33"/>
    </row>
    <row r="72" spans="1:7" x14ac:dyDescent="0.25">
      <c r="A72" s="33"/>
      <c r="B72" s="33"/>
      <c r="C72" s="33"/>
      <c r="D72" s="33"/>
      <c r="E72" s="33"/>
      <c r="F72" s="33"/>
      <c r="G72" s="33"/>
    </row>
    <row r="73" spans="1:7" x14ac:dyDescent="0.25">
      <c r="A73" s="33"/>
      <c r="B73" s="33"/>
      <c r="C73" s="33"/>
      <c r="D73" s="33"/>
      <c r="E73" s="33"/>
      <c r="F73" s="33"/>
      <c r="G73" s="33"/>
    </row>
    <row r="74" spans="1:7" x14ac:dyDescent="0.25">
      <c r="A74" s="33"/>
      <c r="B74" s="33"/>
      <c r="C74" s="33"/>
      <c r="D74" s="33"/>
      <c r="E74" s="33"/>
      <c r="F74" s="33"/>
      <c r="G74" s="33"/>
    </row>
    <row r="75" spans="1:7" x14ac:dyDescent="0.25">
      <c r="A75" s="33"/>
      <c r="B75" s="33"/>
      <c r="C75" s="33"/>
      <c r="D75" s="33"/>
      <c r="E75" s="33"/>
      <c r="F75" s="33"/>
      <c r="G75" s="33"/>
    </row>
    <row r="76" spans="1:7" x14ac:dyDescent="0.25">
      <c r="A76" s="33"/>
      <c r="B76" s="33"/>
      <c r="C76" s="33"/>
      <c r="D76" s="33"/>
      <c r="E76" s="33"/>
      <c r="F76" s="33"/>
      <c r="G76" s="33"/>
    </row>
    <row r="77" spans="1:7" x14ac:dyDescent="0.25">
      <c r="A77" s="33"/>
      <c r="B77" s="33"/>
      <c r="C77" s="33"/>
      <c r="D77" s="33"/>
      <c r="E77" s="33"/>
      <c r="F77" s="33"/>
      <c r="G77" s="33"/>
    </row>
    <row r="78" spans="1:7" x14ac:dyDescent="0.25">
      <c r="A78" s="33"/>
      <c r="B78" s="33"/>
      <c r="C78" s="33"/>
      <c r="D78" s="33"/>
      <c r="E78" s="33"/>
      <c r="F78" s="33"/>
      <c r="G78" s="33"/>
    </row>
    <row r="79" spans="1:7" x14ac:dyDescent="0.25">
      <c r="A79" s="33"/>
      <c r="B79" s="33"/>
      <c r="C79" s="33"/>
      <c r="D79" s="33"/>
      <c r="E79" s="33"/>
      <c r="F79" s="33"/>
      <c r="G79" s="33"/>
    </row>
    <row r="80" spans="1:7" x14ac:dyDescent="0.25">
      <c r="A80" s="33"/>
      <c r="B80" s="33"/>
      <c r="C80" s="33"/>
      <c r="D80" s="33"/>
      <c r="E80" s="33"/>
      <c r="F80" s="33"/>
      <c r="G80" s="33"/>
    </row>
    <row r="81" spans="1:7" x14ac:dyDescent="0.25">
      <c r="A81" s="35"/>
      <c r="B81" s="36"/>
      <c r="C81" s="36"/>
      <c r="D81" s="33"/>
      <c r="E81" s="36"/>
      <c r="F81" s="36"/>
      <c r="G81" s="36"/>
    </row>
    <row r="82" spans="1:7" x14ac:dyDescent="0.25">
      <c r="A82" s="35"/>
      <c r="B82" s="36"/>
      <c r="C82" s="36"/>
      <c r="D82" s="33"/>
      <c r="E82" s="36"/>
      <c r="F82" s="36"/>
      <c r="G82" s="36"/>
    </row>
    <row r="83" spans="1:7" x14ac:dyDescent="0.25">
      <c r="A83" s="35"/>
      <c r="B83" s="36"/>
      <c r="C83" s="36"/>
      <c r="D83" s="33"/>
      <c r="E83" s="36"/>
      <c r="F83" s="36"/>
      <c r="G83" s="36"/>
    </row>
    <row r="84" spans="1:7" x14ac:dyDescent="0.25">
      <c r="A84" s="35"/>
      <c r="B84" s="36"/>
      <c r="C84" s="36"/>
      <c r="D84" s="33"/>
      <c r="E84" s="36"/>
      <c r="F84" s="36"/>
      <c r="G84" s="36"/>
    </row>
    <row r="85" spans="1:7" x14ac:dyDescent="0.25">
      <c r="A85" s="35"/>
      <c r="B85" s="36"/>
      <c r="C85" s="36"/>
      <c r="D85" s="33"/>
      <c r="E85" s="36"/>
      <c r="F85" s="36"/>
      <c r="G85" s="36"/>
    </row>
    <row r="86" spans="1:7" x14ac:dyDescent="0.25">
      <c r="A86" s="35"/>
      <c r="B86" s="36"/>
      <c r="C86" s="36"/>
      <c r="D86" s="33"/>
      <c r="E86" s="36"/>
      <c r="F86" s="36"/>
      <c r="G86" s="36"/>
    </row>
    <row r="87" spans="1:7" x14ac:dyDescent="0.25">
      <c r="A87" s="33"/>
      <c r="B87" s="33"/>
      <c r="C87" s="33"/>
      <c r="D87" s="33"/>
      <c r="E87" s="33"/>
      <c r="F87" s="33"/>
      <c r="G87" s="33"/>
    </row>
    <row r="88" spans="1:7" x14ac:dyDescent="0.25">
      <c r="A88" s="33"/>
      <c r="B88" s="33"/>
      <c r="C88" s="33"/>
      <c r="D88" s="33"/>
      <c r="E88" s="33"/>
      <c r="F88" s="33"/>
      <c r="G88" s="33"/>
    </row>
  </sheetData>
  <sheetProtection algorithmName="SHA-512" hashValue="Q4Xabt5IzHIRU9ZdqIWZF60g3V3k0iaIm2yPt02YP3/4ETPHG7d4Avyv1XTGh8FdC+BByCdmz3QCPEclXGgdjQ==" saltValue="pW2puTcW+QU6hLG5l+sSzw==" spinCount="100000" sheet="1" objects="1" scenarios="1"/>
  <mergeCells count="3">
    <mergeCell ref="B4:F4"/>
    <mergeCell ref="B5:F5"/>
    <mergeCell ref="B6:F6"/>
  </mergeCells>
  <conditionalFormatting sqref="E26">
    <cfRule type="cellIs" dxfId="128" priority="5" stopIfTrue="1" operator="lessThan">
      <formula>47%</formula>
    </cfRule>
    <cfRule type="cellIs" dxfId="127" priority="6" stopIfTrue="1" operator="greaterThan">
      <formula>70%</formula>
    </cfRule>
    <cfRule type="cellIs" dxfId="126" priority="7" stopIfTrue="1" operator="between">
      <formula>47%</formula>
      <formula>70%</formula>
    </cfRule>
  </conditionalFormatting>
  <conditionalFormatting sqref="J24">
    <cfRule type="cellIs" dxfId="125" priority="4" stopIfTrue="1" operator="equal">
      <formula>"NOT ENOUGH FORCE!"</formula>
    </cfRule>
  </conditionalFormatting>
  <conditionalFormatting sqref="E24 G24 I24">
    <cfRule type="cellIs" dxfId="124" priority="3" stopIfTrue="1" operator="greaterThan">
      <formula>$B$21</formula>
    </cfRule>
  </conditionalFormatting>
  <conditionalFormatting sqref="E14 G14 I14">
    <cfRule type="cellIs" dxfId="123" priority="2" operator="equal">
      <formula>"ROLLER TOO HIGH!"</formula>
    </cfRule>
  </conditionalFormatting>
  <conditionalFormatting sqref="E18 G18 I18">
    <cfRule type="cellIs" dxfId="122" priority="1" operator="notBetween">
      <formula>$B$23</formula>
      <formula>1.25*thk</formula>
    </cfRule>
  </conditionalFormatting>
  <dataValidations count="1">
    <dataValidation errorTitle="Roller Depth too great" error="You have engaged the rollers too far." sqref="G18 E18 I18" xr:uid="{84740102-6FEE-42C4-B56B-4B37F84BA54A}"/>
  </dataValidations>
  <pageMargins left="0.75" right="0.75" top="1" bottom="1" header="0.5" footer="0.5"/>
  <pageSetup scale="67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30402" r:id="rId4" name="CommandButton1">
          <controlPr defaultSize="0" autoLine="0" r:id="rId5">
            <anchor moveWithCells="1">
              <from>
                <xdr:col>3</xdr:col>
                <xdr:colOff>0</xdr:colOff>
                <xdr:row>13</xdr:row>
                <xdr:rowOff>266700</xdr:rowOff>
              </from>
              <to>
                <xdr:col>3</xdr:col>
                <xdr:colOff>628650</xdr:colOff>
                <xdr:row>15</xdr:row>
                <xdr:rowOff>9525</xdr:rowOff>
              </to>
            </anchor>
          </controlPr>
        </control>
      </mc:Choice>
      <mc:Fallback>
        <control shapeId="230402" r:id="rId4" name="CommandButton1"/>
      </mc:Fallback>
    </mc:AlternateContent>
    <mc:AlternateContent xmlns:mc="http://schemas.openxmlformats.org/markup-compatibility/2006">
      <mc:Choice Requires="x14">
        <control shapeId="230401" r:id="rId6" name="Spinner 1">
          <controlPr defaultSize="0" autoPict="0">
            <anchor>
              <from>
                <xdr:col>4</xdr:col>
                <xdr:colOff>28575</xdr:colOff>
                <xdr:row>14</xdr:row>
                <xdr:rowOff>0</xdr:rowOff>
              </from>
              <to>
                <xdr:col>4</xdr:col>
                <xdr:colOff>952500</xdr:colOff>
                <xdr:row>15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0403" r:id="rId7" name="Button 3">
          <controlPr defaultSize="0" print="0" autoFill="0" autoPict="0" macro="[0]!Tbl_Contents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266700</xdr:colOff>
                <xdr:row>0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0412" r:id="rId8" name="Check Box 12">
          <controlPr defaultSize="0" autoFill="0" autoLine="0" autoPict="0" altText="Confirmed">
            <anchor moveWithCells="1">
              <from>
                <xdr:col>1</xdr:col>
                <xdr:colOff>104775</xdr:colOff>
                <xdr:row>27</xdr:row>
                <xdr:rowOff>180975</xdr:rowOff>
              </from>
              <to>
                <xdr:col>1</xdr:col>
                <xdr:colOff>847725</xdr:colOff>
                <xdr:row>27</xdr:row>
                <xdr:rowOff>495300</xdr:rowOff>
              </to>
            </anchor>
          </controlPr>
        </control>
      </mc:Choice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853DE3-5B56-4079-8916-CAEBB3C0638B}">
  <sheetPr codeName="Sheet12">
    <tabColor rgb="FFFFFF00"/>
    <pageSetUpPr fitToPage="1"/>
  </sheetPr>
  <dimension ref="A1:O87"/>
  <sheetViews>
    <sheetView zoomScale="85" workbookViewId="0"/>
  </sheetViews>
  <sheetFormatPr defaultRowHeight="15" x14ac:dyDescent="0.25"/>
  <cols>
    <col min="1" max="1" width="21.5703125" customWidth="1"/>
    <col min="2" max="2" width="15.5703125" customWidth="1"/>
    <col min="3" max="4" width="15.140625" customWidth="1"/>
    <col min="5" max="5" width="14.7109375" customWidth="1"/>
    <col min="6" max="6" width="13" customWidth="1"/>
    <col min="7" max="9" width="14.140625" customWidth="1"/>
    <col min="10" max="10" width="12.42578125" customWidth="1"/>
    <col min="11" max="11" width="14.140625" customWidth="1"/>
    <col min="12" max="12" width="12.7109375" customWidth="1"/>
  </cols>
  <sheetData>
    <row r="1" spans="1:11" ht="18.75" x14ac:dyDescent="0.3">
      <c r="A1" s="33"/>
      <c r="B1" s="42"/>
      <c r="C1" s="33"/>
      <c r="D1" s="33"/>
      <c r="E1" s="145" t="s">
        <v>0</v>
      </c>
      <c r="F1" s="33"/>
      <c r="G1" s="33"/>
      <c r="H1" s="33"/>
      <c r="I1" s="33"/>
      <c r="J1" s="33"/>
      <c r="K1" s="33"/>
    </row>
    <row r="2" spans="1:11" x14ac:dyDescent="0.25">
      <c r="A2" s="33"/>
      <c r="B2" s="42"/>
      <c r="C2" s="33"/>
      <c r="D2" s="33"/>
      <c r="E2" s="144" t="s">
        <v>368</v>
      </c>
      <c r="F2" s="33"/>
      <c r="G2" s="33"/>
      <c r="H2" s="33"/>
      <c r="I2" s="33"/>
      <c r="J2" s="33"/>
      <c r="K2" s="33"/>
    </row>
    <row r="3" spans="1:11" x14ac:dyDescent="0.25">
      <c r="A3" s="33"/>
      <c r="B3" s="33"/>
      <c r="C3" s="33"/>
      <c r="D3" s="33"/>
      <c r="E3" s="144"/>
      <c r="F3" s="33"/>
      <c r="G3" s="33"/>
      <c r="H3" s="33"/>
      <c r="I3" s="33"/>
      <c r="J3" s="33"/>
      <c r="K3" s="33"/>
    </row>
    <row r="4" spans="1:11" x14ac:dyDescent="0.25">
      <c r="A4" s="143" t="s">
        <v>1</v>
      </c>
      <c r="B4" s="997" t="str">
        <f>Customer</f>
        <v>ULTRATECH TOOL&amp; DESIGN, INC.</v>
      </c>
      <c r="C4" s="997"/>
      <c r="D4" s="997"/>
      <c r="E4" s="997"/>
      <c r="F4" s="997"/>
      <c r="G4" s="33"/>
      <c r="H4" s="33"/>
      <c r="I4" s="33"/>
      <c r="J4" s="33"/>
      <c r="K4" s="33"/>
    </row>
    <row r="5" spans="1:11" x14ac:dyDescent="0.25">
      <c r="A5" s="143" t="s">
        <v>2</v>
      </c>
      <c r="B5" s="998">
        <f>CalcDate</f>
        <v>0</v>
      </c>
      <c r="C5" s="997"/>
      <c r="D5" s="997"/>
      <c r="E5" s="997"/>
      <c r="F5" s="997"/>
      <c r="G5" s="33"/>
      <c r="H5" s="33"/>
      <c r="I5" s="33"/>
      <c r="J5" s="33"/>
      <c r="K5" s="33"/>
    </row>
    <row r="6" spans="1:11" x14ac:dyDescent="0.25">
      <c r="A6" s="143" t="s">
        <v>3</v>
      </c>
      <c r="B6" s="997">
        <f>Reference</f>
        <v>0</v>
      </c>
      <c r="C6" s="997"/>
      <c r="D6" s="997"/>
      <c r="E6" s="997"/>
      <c r="F6" s="997"/>
      <c r="G6" s="33"/>
      <c r="H6" s="33"/>
      <c r="I6" s="33"/>
      <c r="J6" s="33"/>
      <c r="K6" s="33"/>
    </row>
    <row r="8" spans="1:11" ht="16.5" customHeight="1" x14ac:dyDescent="0.25">
      <c r="A8" s="146"/>
      <c r="B8" s="147"/>
      <c r="C8" s="148"/>
      <c r="D8" s="123" t="s">
        <v>366</v>
      </c>
      <c r="E8" s="132">
        <v>-60</v>
      </c>
      <c r="F8" s="33" t="s">
        <v>365</v>
      </c>
      <c r="G8" s="33"/>
      <c r="H8" s="33"/>
      <c r="I8" s="33"/>
      <c r="J8" s="33"/>
      <c r="K8" s="33"/>
    </row>
    <row r="9" spans="1:11" x14ac:dyDescent="0.25">
      <c r="A9" s="149"/>
      <c r="B9" s="150"/>
      <c r="C9" s="148"/>
      <c r="D9" s="123" t="s">
        <v>364</v>
      </c>
      <c r="E9" s="132">
        <f>IF(ABS(1/$E$8)&gt;curv_at_yld, 1/((1/$E$8)-((ABS($E$8)/$E$8)*(1.5*(1-$F$32))*curv_at_yld*(1-((1/3)*(curv_at_yld/(1/$E$8))^2)))), IF($F$32=0, ABS($E$8)/$E$8*99999, $E$8/$F$32))</f>
        <v>-181.81818181818181</v>
      </c>
      <c r="F9" s="33" t="s">
        <v>363</v>
      </c>
      <c r="G9" s="33"/>
      <c r="H9" s="33"/>
      <c r="I9" s="33"/>
      <c r="J9" s="33"/>
      <c r="K9" s="33"/>
    </row>
    <row r="10" spans="1:11" ht="15.75" thickBot="1" x14ac:dyDescent="0.3">
      <c r="A10" s="33"/>
      <c r="B10" s="33"/>
      <c r="C10" s="33"/>
      <c r="D10" s="123" t="s">
        <v>362</v>
      </c>
      <c r="E10" s="138">
        <f>1/$E$9</f>
        <v>-5.5000000000000005E-3</v>
      </c>
      <c r="F10" s="33"/>
      <c r="G10" s="33"/>
      <c r="H10" s="33"/>
      <c r="I10" s="33"/>
      <c r="J10" s="33"/>
      <c r="K10" s="33"/>
    </row>
    <row r="11" spans="1:11" x14ac:dyDescent="0.25">
      <c r="A11" s="140" t="s">
        <v>361</v>
      </c>
      <c r="B11" s="139">
        <f>CoilWidth_1</f>
        <v>18</v>
      </c>
      <c r="C11" s="33" t="s">
        <v>336</v>
      </c>
      <c r="D11" s="123" t="s">
        <v>360</v>
      </c>
      <c r="E11" s="138">
        <f>2*yield/(thk*modulus)</f>
        <v>2.7586206896551724E-2</v>
      </c>
      <c r="F11" s="33"/>
      <c r="G11" s="33"/>
      <c r="H11" s="33"/>
      <c r="I11" s="33"/>
      <c r="J11" s="33"/>
      <c r="K11" s="33"/>
    </row>
    <row r="12" spans="1:11" x14ac:dyDescent="0.25">
      <c r="A12" s="135" t="s">
        <v>359</v>
      </c>
      <c r="B12" s="137">
        <f>Thickness_1</f>
        <v>0.25</v>
      </c>
      <c r="C12" s="36" t="s">
        <v>336</v>
      </c>
      <c r="D12" s="136" t="s">
        <v>358</v>
      </c>
      <c r="E12" s="132">
        <f>1/curv_at_yld</f>
        <v>36.25</v>
      </c>
      <c r="F12" s="33" t="s">
        <v>357</v>
      </c>
      <c r="G12" s="33"/>
      <c r="H12" s="33"/>
      <c r="I12" s="33"/>
      <c r="J12" s="33"/>
      <c r="K12" s="33"/>
    </row>
    <row r="13" spans="1:11" x14ac:dyDescent="0.25">
      <c r="A13" s="135" t="s">
        <v>356</v>
      </c>
      <c r="B13" s="134">
        <f>YieldStrength_1</f>
        <v>100000</v>
      </c>
      <c r="C13" s="130" t="s">
        <v>11</v>
      </c>
      <c r="D13" s="133" t="s">
        <v>355</v>
      </c>
      <c r="E13" s="132">
        <f>width*yield*(thk^2)/6</f>
        <v>18750</v>
      </c>
      <c r="F13" s="33" t="s">
        <v>354</v>
      </c>
      <c r="G13" s="33"/>
      <c r="H13" s="33"/>
      <c r="I13" s="33"/>
      <c r="J13" s="33"/>
      <c r="K13" s="33"/>
    </row>
    <row r="14" spans="1:11" ht="17.25" customHeight="1" x14ac:dyDescent="0.25">
      <c r="A14" s="131" t="s">
        <v>353</v>
      </c>
      <c r="B14" s="436" t="str">
        <f>Material_1</f>
        <v>HS Steel</v>
      </c>
      <c r="C14" s="130"/>
      <c r="D14" s="130"/>
      <c r="E14" s="129" t="str">
        <f>IF(E21&gt;0,"", "ROLLER TOO HIGH!")</f>
        <v/>
      </c>
      <c r="F14" s="33"/>
      <c r="G14" s="129" t="str">
        <f>IF(G21&gt;0,"", "ROLLER TOO HIGH!")</f>
        <v/>
      </c>
      <c r="H14" s="129"/>
      <c r="I14" s="129" t="str">
        <f>IF(I21&gt;0,"", "ROLLER TOO HIGH!")</f>
        <v/>
      </c>
      <c r="J14" s="33"/>
      <c r="K14" s="129" t="str">
        <f>IF(K21&gt;0,"", "ROLLER TOO HIGH!")</f>
        <v/>
      </c>
    </row>
    <row r="15" spans="1:11" ht="17.25" customHeight="1" thickBot="1" x14ac:dyDescent="0.3">
      <c r="A15" s="151" t="s">
        <v>965</v>
      </c>
      <c r="B15" s="436" t="str">
        <f>'Str. Utility (1)'!model</f>
        <v>CPPS-507</v>
      </c>
      <c r="C15" s="36"/>
      <c r="D15" s="33"/>
      <c r="E15" s="33"/>
      <c r="F15" s="33"/>
      <c r="G15" s="33"/>
      <c r="H15" s="33"/>
      <c r="I15" s="33"/>
      <c r="J15" s="33"/>
      <c r="K15" s="33"/>
    </row>
    <row r="16" spans="1:11" ht="15" customHeight="1" thickBot="1" x14ac:dyDescent="0.3">
      <c r="A16" s="68"/>
      <c r="B16" s="33"/>
      <c r="C16" s="36"/>
      <c r="D16" s="33"/>
      <c r="E16" s="152">
        <v>9843.8065477949112</v>
      </c>
      <c r="F16" s="33"/>
      <c r="G16" s="46"/>
      <c r="H16" s="46"/>
      <c r="I16" s="46"/>
      <c r="J16" s="33"/>
      <c r="K16" s="46"/>
    </row>
    <row r="17" spans="1:15" ht="15.75" thickBot="1" x14ac:dyDescent="0.3">
      <c r="A17" s="123"/>
      <c r="B17" s="33"/>
      <c r="C17" s="33"/>
      <c r="D17" s="122"/>
      <c r="E17" s="121" t="s">
        <v>351</v>
      </c>
      <c r="F17" s="119"/>
      <c r="G17" s="120" t="s">
        <v>350</v>
      </c>
      <c r="H17" s="120"/>
      <c r="I17" s="120" t="s">
        <v>350</v>
      </c>
      <c r="J17" s="119"/>
      <c r="K17" s="118" t="s">
        <v>349</v>
      </c>
      <c r="L17" s="33"/>
      <c r="M17" s="33"/>
      <c r="N17" s="33"/>
      <c r="O17" s="65"/>
    </row>
    <row r="18" spans="1:15" ht="21.75" customHeight="1" x14ac:dyDescent="0.25">
      <c r="A18" s="153" t="s">
        <v>348</v>
      </c>
      <c r="B18" s="116">
        <f>VLOOKUP($B$15,LookupStrModel,2,FALSE)</f>
        <v>5</v>
      </c>
      <c r="C18" s="71" t="s">
        <v>336</v>
      </c>
      <c r="D18" s="154" t="s">
        <v>370</v>
      </c>
      <c r="E18" s="114">
        <f>IF((E16-10000)/1000&lt;$B23, "TOO DEEP!", (E16-10000)/1000)</f>
        <v>-0.15619345220508876</v>
      </c>
      <c r="F18" s="112"/>
      <c r="G18" s="113">
        <f>E18+((K18-E18)/3)</f>
        <v>-3.7462301470059162E-2</v>
      </c>
      <c r="H18" s="155"/>
      <c r="I18" s="113">
        <f>G18+((K18-E18)/3)</f>
        <v>8.1268849264970439E-2</v>
      </c>
      <c r="J18" s="112"/>
      <c r="K18" s="111">
        <f>thk*0.8</f>
        <v>0.2</v>
      </c>
      <c r="L18" s="33"/>
      <c r="M18" s="33"/>
      <c r="N18" s="33"/>
      <c r="O18" s="33"/>
    </row>
    <row r="19" spans="1:15" ht="25.5" x14ac:dyDescent="0.25">
      <c r="A19" s="131" t="s">
        <v>346</v>
      </c>
      <c r="B19" s="98">
        <f>VLOOKUP($B$15,LookupStrModel,3,FALSE)</f>
        <v>9</v>
      </c>
      <c r="C19" s="71" t="s">
        <v>336</v>
      </c>
      <c r="D19" s="156" t="s">
        <v>345</v>
      </c>
      <c r="E19" s="109">
        <f>(1.314-$D$31*thk+$D$32*E18)*((-0.25*cent_dist^2)-(E18^2)+(2*E18*thk)-thk^2)/(4*(E18+0.00000001)-4*thk)</f>
        <v>16.156918322322042</v>
      </c>
      <c r="F19" s="93">
        <f>-E19</f>
        <v>-16.156918322322042</v>
      </c>
      <c r="G19" s="93">
        <f>((-0.25*cent_dist^2)-(G$18^2)+(2*G$18*thk)-thk^2)/(4*(G$18+0.00000001)-4*thk)</f>
        <v>17.682871091358624</v>
      </c>
      <c r="H19" s="93">
        <f>-G19</f>
        <v>-17.682871091358624</v>
      </c>
      <c r="I19" s="93">
        <f>((-0.25*cent_dist^2)-(I$18^2)+(2*I$18*thk)-thk^2)/(4*(I$18+0.00000001)-4*thk)</f>
        <v>30.045535923142189</v>
      </c>
      <c r="J19" s="93">
        <f>-I19</f>
        <v>-30.045535923142189</v>
      </c>
      <c r="K19" s="108">
        <f>(1.314-$D$31*thk+$D$32*K18)*((-0.25*cent_dist^2)-(K18^2)+(2*K18*thk)-thk^2)/(4*(K18+0.00000001)-4*thk)</f>
        <v>136.70440234088048</v>
      </c>
      <c r="L19" s="33"/>
      <c r="M19" s="33"/>
      <c r="N19" s="33"/>
      <c r="O19" s="33"/>
    </row>
    <row r="20" spans="1:15" ht="25.5" x14ac:dyDescent="0.25">
      <c r="A20" s="131" t="s">
        <v>344</v>
      </c>
      <c r="B20" s="107">
        <f>VLOOKUP($B$14,LookupMaterial,3,FALSE)</f>
        <v>29000000</v>
      </c>
      <c r="C20" s="71" t="s">
        <v>11</v>
      </c>
      <c r="D20" s="157" t="s">
        <v>343</v>
      </c>
      <c r="E20" s="105" t="s">
        <v>277</v>
      </c>
      <c r="F20" s="104" t="s">
        <v>278</v>
      </c>
      <c r="G20" s="104" t="s">
        <v>277</v>
      </c>
      <c r="H20" s="104" t="s">
        <v>278</v>
      </c>
      <c r="I20" s="104" t="s">
        <v>277</v>
      </c>
      <c r="J20" s="104" t="s">
        <v>278</v>
      </c>
      <c r="K20" s="103" t="s">
        <v>277</v>
      </c>
      <c r="L20" s="33"/>
      <c r="M20" s="33"/>
      <c r="N20" s="33"/>
      <c r="O20" s="33"/>
    </row>
    <row r="21" spans="1:15" ht="27.75" customHeight="1" x14ac:dyDescent="0.25">
      <c r="A21" s="131" t="s">
        <v>342</v>
      </c>
      <c r="B21" s="158">
        <f>VLOOKUP($B$15,LookupStrModel,5,FALSE)</f>
        <v>60000</v>
      </c>
      <c r="C21" s="159" t="s">
        <v>341</v>
      </c>
      <c r="D21" s="156" t="s">
        <v>340</v>
      </c>
      <c r="E21" s="88">
        <f>1/E19-$E$10</f>
        <v>6.7392990980738088E-2</v>
      </c>
      <c r="F21" s="87">
        <f t="shared" ref="F21:K21" si="0">1/F19-1/E27</f>
        <v>-8.4717759757415134E-2</v>
      </c>
      <c r="G21" s="87">
        <f t="shared" si="0"/>
        <v>7.8528086972981762E-2</v>
      </c>
      <c r="H21" s="87">
        <f t="shared" si="0"/>
        <v>-7.3426637023636082E-2</v>
      </c>
      <c r="I21" s="87">
        <f t="shared" si="0"/>
        <v>5.0402284406894156E-2</v>
      </c>
      <c r="J21" s="87">
        <f t="shared" si="0"/>
        <v>-2.9318178100460918E-2</v>
      </c>
      <c r="K21" s="86">
        <f t="shared" si="0"/>
        <v>1.1430141939747219E-2</v>
      </c>
      <c r="L21" s="33"/>
      <c r="M21" s="33"/>
      <c r="N21" s="33"/>
      <c r="O21" s="33"/>
    </row>
    <row r="22" spans="1:15" ht="45" customHeight="1" x14ac:dyDescent="0.25">
      <c r="A22" s="160" t="s">
        <v>339</v>
      </c>
      <c r="B22" s="98">
        <f>VLOOKUP($B$15,LookupStrModel,6,FALSE)</f>
        <v>-1.25</v>
      </c>
      <c r="C22" s="71" t="s">
        <v>336</v>
      </c>
      <c r="D22" s="161" t="s">
        <v>338</v>
      </c>
      <c r="E22" s="94">
        <f t="shared" ref="E22:K22" si="1">IF(ABS(E21)&lt;curv_at_yld, (modulus*width*thk^3)/(12)*(E21), (ABS(E21)/E21)*1.5*My*(1-1/3*((curv_at_yld/E21)^2)))</f>
        <v>26554.182279322733</v>
      </c>
      <c r="F22" s="93">
        <f t="shared" si="1"/>
        <v>-27130.954351032422</v>
      </c>
      <c r="G22" s="93">
        <f t="shared" si="1"/>
        <v>26968.074964518448</v>
      </c>
      <c r="H22" s="93">
        <f t="shared" si="1"/>
        <v>-26801.731485710854</v>
      </c>
      <c r="I22" s="93">
        <f t="shared" si="1"/>
        <v>25316.626842865335</v>
      </c>
      <c r="J22" s="93">
        <f t="shared" si="1"/>
        <v>-19824.938752796654</v>
      </c>
      <c r="K22" s="92">
        <f t="shared" si="1"/>
        <v>7768.9245996719374</v>
      </c>
      <c r="L22" s="33"/>
      <c r="M22" s="33"/>
      <c r="N22" s="33"/>
      <c r="O22" s="33"/>
    </row>
    <row r="23" spans="1:15" ht="45" customHeight="1" thickBot="1" x14ac:dyDescent="0.3">
      <c r="A23" s="162" t="s">
        <v>337</v>
      </c>
      <c r="B23" s="163">
        <f>IF((B$18+thk)^2-(cent_dist/2)^2&lt;0, B22, IF(B$18-SQRT((B$18+thk)^2-(cent_dist/2)^2)&lt;-B22, -B$18+SQRT((B$18+thk)^2-(cent_dist/2)^2), B22))</f>
        <v>-1.25</v>
      </c>
      <c r="C23" s="71" t="s">
        <v>336</v>
      </c>
      <c r="D23" s="156" t="s">
        <v>335</v>
      </c>
      <c r="E23" s="88">
        <f t="shared" ref="E23:K23" si="2">E22/My</f>
        <v>1.4162230548972123</v>
      </c>
      <c r="F23" s="87">
        <f t="shared" si="2"/>
        <v>-1.4469842320550625</v>
      </c>
      <c r="G23" s="87">
        <f t="shared" si="2"/>
        <v>1.4382973314409839</v>
      </c>
      <c r="H23" s="87">
        <f t="shared" si="2"/>
        <v>-1.4294256792379123</v>
      </c>
      <c r="I23" s="87">
        <f t="shared" si="2"/>
        <v>1.3502200982861512</v>
      </c>
      <c r="J23" s="87">
        <f t="shared" si="2"/>
        <v>-1.0573300668158214</v>
      </c>
      <c r="K23" s="86">
        <f t="shared" si="2"/>
        <v>0.41434264531583664</v>
      </c>
      <c r="L23" s="33"/>
      <c r="M23" s="33"/>
      <c r="N23" s="33"/>
      <c r="O23" s="33"/>
    </row>
    <row r="24" spans="1:15" ht="45" customHeight="1" thickBot="1" x14ac:dyDescent="0.3">
      <c r="A24" s="72"/>
      <c r="B24" s="71"/>
      <c r="C24" s="71"/>
      <c r="D24" s="156" t="s">
        <v>334</v>
      </c>
      <c r="E24" s="94">
        <f>E22*5.333/cent_dist</f>
        <v>15734.828232847571</v>
      </c>
      <c r="F24" s="93"/>
      <c r="G24" s="93">
        <f>G22*5.333/cent_dist</f>
        <v>15980.082642864099</v>
      </c>
      <c r="H24" s="93"/>
      <c r="I24" s="93">
        <f>I22*5.333/cent_dist</f>
        <v>15001.50788366676</v>
      </c>
      <c r="J24" s="93"/>
      <c r="K24" s="92">
        <f>K22*5.3333/cent_dist</f>
        <v>4603.7783963811489</v>
      </c>
      <c r="L24" s="91" t="str">
        <f>IF(E24&gt;B21, "NOT ENOUGH FORCE!", IF(G24&gt;B21, "NOT ENOUGH FORCE!", IF(K24&gt;B21, "NOT ENOUGH FORCE!", "")))</f>
        <v/>
      </c>
      <c r="M24" s="33"/>
      <c r="N24" s="33"/>
      <c r="O24" s="33"/>
    </row>
    <row r="25" spans="1:15" ht="50.25" customHeight="1" x14ac:dyDescent="0.25">
      <c r="A25" s="90" t="s">
        <v>333</v>
      </c>
      <c r="B25" s="89">
        <f>-(1.5*rad_at_yld-thk-SQRT(ABS(((1.5*rad_at_yld)^2)-(cent_dist/2)^2)))</f>
        <v>6.3473174652187936E-2</v>
      </c>
      <c r="C25" s="81" t="str">
        <f>IF(B25&gt;B23, "OK", "WILL NOT STRAIGHTEN")</f>
        <v>OK</v>
      </c>
      <c r="D25" s="156" t="s">
        <v>332</v>
      </c>
      <c r="E25" s="88">
        <f t="shared" ref="E25:K25" si="3">-curv_at_yld*E23</f>
        <v>-3.9068222204061032E-2</v>
      </c>
      <c r="F25" s="87">
        <f t="shared" si="3"/>
        <v>3.9916806401518963E-2</v>
      </c>
      <c r="G25" s="87">
        <f t="shared" si="3"/>
        <v>-3.9677167763889208E-2</v>
      </c>
      <c r="H25" s="87">
        <f t="shared" si="3"/>
        <v>3.9432432530701028E-2</v>
      </c>
      <c r="I25" s="87">
        <f t="shared" si="3"/>
        <v>-3.7247450987204167E-2</v>
      </c>
      <c r="J25" s="87">
        <f t="shared" si="3"/>
        <v>2.9167725981126109E-2</v>
      </c>
      <c r="K25" s="86">
        <f t="shared" si="3"/>
        <v>-1.1430141939747217E-2</v>
      </c>
      <c r="L25" s="33"/>
      <c r="M25" s="33"/>
      <c r="N25" s="33"/>
      <c r="O25" s="33"/>
    </row>
    <row r="26" spans="1:15" ht="51.75" customHeight="1" x14ac:dyDescent="0.25">
      <c r="A26" s="626" t="s">
        <v>371</v>
      </c>
      <c r="B26" s="627">
        <f>(16*yield*width*thk^2)/(15*cent_dist)</f>
        <v>13333.333333333334</v>
      </c>
      <c r="C26" s="81" t="str">
        <f>IF(B26&lt;B21, "OK", "NOT ENOUGH FORCE")</f>
        <v>OK</v>
      </c>
      <c r="D26" s="156" t="s">
        <v>330</v>
      </c>
      <c r="E26" s="84">
        <f t="shared" ref="E26:K26" si="4">IF(curv_at_yld&lt;ABS(E21),1-ABS(curv_at_yld/E21), "NONE")</f>
        <v>0.59066652933631825</v>
      </c>
      <c r="F26" s="83">
        <f t="shared" si="4"/>
        <v>0.67437516082172877</v>
      </c>
      <c r="G26" s="83">
        <f t="shared" si="4"/>
        <v>0.64870904207760738</v>
      </c>
      <c r="H26" s="83">
        <f t="shared" si="4"/>
        <v>0.62430246005040779</v>
      </c>
      <c r="I26" s="83">
        <f t="shared" si="4"/>
        <v>0.45267943266519062</v>
      </c>
      <c r="J26" s="83">
        <f t="shared" si="4"/>
        <v>5.9074994291066329E-2</v>
      </c>
      <c r="K26" s="82" t="str">
        <f t="shared" si="4"/>
        <v>NONE</v>
      </c>
      <c r="L26" s="33"/>
      <c r="M26" s="33"/>
      <c r="N26" s="33"/>
      <c r="O26" s="33"/>
    </row>
    <row r="27" spans="1:15" ht="51.75" customHeight="1" thickBot="1" x14ac:dyDescent="0.3">
      <c r="A27" s="624" t="s">
        <v>1119</v>
      </c>
      <c r="B27" s="628" t="str">
        <f>IF(AND(E26&gt;=BackbendMin, E26&lt;=BackbendMax), IF(AND(E26 &lt;= BackbendConfirm, B28=FALSE), BackbendNCText, BackbendOKText), BackbendNOText)</f>
        <v>OK</v>
      </c>
      <c r="C27" s="71"/>
      <c r="D27" s="164" t="s">
        <v>328</v>
      </c>
      <c r="E27" s="75">
        <f t="shared" ref="E27:J27" si="5">1/((1/E19)+E25)</f>
        <v>43.812053904433256</v>
      </c>
      <c r="F27" s="74">
        <f t="shared" si="5"/>
        <v>-45.503804192908405</v>
      </c>
      <c r="G27" s="74">
        <f t="shared" si="5"/>
        <v>59.260191163521746</v>
      </c>
      <c r="H27" s="74">
        <f t="shared" si="5"/>
        <v>-58.413023767615776</v>
      </c>
      <c r="I27" s="74">
        <f t="shared" si="5"/>
        <v>-252.22993691436062</v>
      </c>
      <c r="J27" s="74">
        <f t="shared" si="5"/>
        <v>-243.00813573312618</v>
      </c>
      <c r="K27" s="165">
        <f>IF(ABS((1/K19)+K25)&lt;0.00001, "FLAT", 1/((1/K19)+K25))</f>
        <v>-243.0081357331263</v>
      </c>
      <c r="L27" s="33"/>
      <c r="M27" s="33"/>
      <c r="N27" s="33"/>
      <c r="O27" s="33"/>
    </row>
    <row r="28" spans="1:15" ht="45" customHeight="1" x14ac:dyDescent="0.25">
      <c r="A28" s="72"/>
      <c r="B28" s="689" t="b">
        <v>0</v>
      </c>
      <c r="C28" s="71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</row>
    <row r="29" spans="1:15" x14ac:dyDescent="0.25">
      <c r="A29" s="33"/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</row>
    <row r="31" spans="1:15" hidden="1" x14ac:dyDescent="0.25">
      <c r="A31" s="33"/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</row>
    <row r="32" spans="1:15" hidden="1" x14ac:dyDescent="0.25">
      <c r="A32" s="46"/>
      <c r="B32" s="46"/>
      <c r="C32" s="46" t="s">
        <v>169</v>
      </c>
      <c r="D32" s="37">
        <f>VLOOKUP($B$15,LookupStrModel,7,FALSE)</f>
        <v>0.18</v>
      </c>
      <c r="E32" s="68" t="s">
        <v>327</v>
      </c>
      <c r="F32" s="67">
        <v>0.33</v>
      </c>
      <c r="G32" s="33">
        <f>E19/H33</f>
        <v>1.1098131482091556</v>
      </c>
      <c r="H32" s="33" t="s">
        <v>326</v>
      </c>
      <c r="I32" s="33" t="s">
        <v>293</v>
      </c>
      <c r="J32" s="33" t="s">
        <v>292</v>
      </c>
      <c r="K32" s="33" t="s">
        <v>291</v>
      </c>
      <c r="L32" s="33"/>
      <c r="M32" s="33"/>
      <c r="N32" s="33"/>
      <c r="O32" s="33"/>
    </row>
    <row r="33" spans="1:13" hidden="1" x14ac:dyDescent="0.25">
      <c r="A33" s="46"/>
      <c r="B33" s="46"/>
      <c r="C33" s="46" t="s">
        <v>166</v>
      </c>
      <c r="D33" s="37">
        <f>VLOOKUP($B$15,LookupStrModel,8,FALSE)</f>
        <v>0.18</v>
      </c>
      <c r="E33" s="33"/>
      <c r="F33" s="33"/>
      <c r="G33" s="33"/>
      <c r="H33" s="65">
        <f>rad_at_yld/2.49</f>
        <v>14.558232931726906</v>
      </c>
      <c r="I33" s="65">
        <f>H33-(SQRT(((H33+(thk/4))^2)-((cent_dist/4)^2)))</f>
        <v>0.11166477659457108</v>
      </c>
      <c r="J33" s="65">
        <f>ABS(I33)*-2 * 1.07</f>
        <v>-0.23896262191238213</v>
      </c>
      <c r="K33" s="65">
        <f>10000+(L41*1000)</f>
        <v>9843.8065477949112</v>
      </c>
      <c r="L33" s="33">
        <f>10000+(B22*1000)</f>
        <v>8750</v>
      </c>
      <c r="M33" s="33">
        <f>IF(K33&gt;L33,K33,L33)</f>
        <v>9843.8065477949112</v>
      </c>
    </row>
    <row r="34" spans="1:13" hidden="1" x14ac:dyDescent="0.25">
      <c r="A34" s="46"/>
      <c r="B34" s="46"/>
      <c r="C34" s="33"/>
      <c r="D34" s="33"/>
      <c r="E34" s="33"/>
      <c r="F34" s="33"/>
      <c r="G34" s="33"/>
      <c r="H34" s="33"/>
      <c r="I34" s="65">
        <f>H33-(SQRT(((H33+(thk/4))*((H33+(thk/4)))-(((cent_dist/4)*(cent_dist/4))))))</f>
        <v>0.11166477659457108</v>
      </c>
      <c r="J34" s="33"/>
      <c r="K34" s="33"/>
      <c r="L34" s="33"/>
      <c r="M34" s="33"/>
    </row>
    <row r="35" spans="1:13" hidden="1" x14ac:dyDescent="0.25">
      <c r="A35" s="46"/>
      <c r="B35" s="46"/>
      <c r="C35" s="33"/>
      <c r="D35" s="33"/>
      <c r="E35" s="33"/>
      <c r="F35" s="33"/>
      <c r="G35" s="33"/>
      <c r="H35" s="33"/>
      <c r="I35" s="65">
        <f>(SQRT(((H33+(thk/4))*((H33+(thk/4)))-(((cent_dist/4)*(cent_dist/4))))))</f>
        <v>14.446568155132335</v>
      </c>
      <c r="J35" s="65">
        <f>I35-H33</f>
        <v>-0.11166477659457108</v>
      </c>
      <c r="K35" s="33"/>
      <c r="L35" s="33"/>
      <c r="M35" s="33"/>
    </row>
    <row r="36" spans="1:13" hidden="1" x14ac:dyDescent="0.25">
      <c r="A36" s="46"/>
      <c r="B36" s="46"/>
      <c r="C36" s="33"/>
      <c r="D36" s="33"/>
      <c r="E36" s="33"/>
      <c r="F36" s="33"/>
      <c r="G36" s="33"/>
      <c r="H36" s="33"/>
      <c r="I36" s="33">
        <v>4</v>
      </c>
      <c r="J36" s="33">
        <v>8</v>
      </c>
      <c r="K36" s="33">
        <v>2</v>
      </c>
      <c r="L36" s="33">
        <v>3</v>
      </c>
      <c r="M36" s="33"/>
    </row>
    <row r="37" spans="1:13" hidden="1" x14ac:dyDescent="0.25">
      <c r="A37" s="46"/>
      <c r="B37" s="46"/>
      <c r="C37" s="33"/>
      <c r="D37" s="33"/>
      <c r="E37" s="33"/>
      <c r="F37" s="33"/>
      <c r="G37" s="33"/>
      <c r="H37" s="33" t="s">
        <v>276</v>
      </c>
      <c r="I37" s="65">
        <f>SQRT(((I39)^2)-((I38)^2))</f>
        <v>14.383311374451218</v>
      </c>
      <c r="J37" s="65">
        <f>SQRT(((J39)^2)-((J38)^2))</f>
        <v>14.514700172391359</v>
      </c>
      <c r="K37" s="65">
        <f>SQRT(((K39)^2)-((K38)^2))</f>
        <v>13.845293283077025</v>
      </c>
      <c r="L37" s="65">
        <f>SQRT(((L39)^2)-((L38)^2))</f>
        <v>14.245776430030684</v>
      </c>
      <c r="M37" s="33"/>
    </row>
    <row r="38" spans="1:13" hidden="1" x14ac:dyDescent="0.25">
      <c r="A38" s="33"/>
      <c r="B38" s="46"/>
      <c r="C38" s="33"/>
      <c r="D38" s="33"/>
      <c r="E38" s="33"/>
      <c r="F38" s="33"/>
      <c r="G38" s="33"/>
      <c r="H38" s="33" t="s">
        <v>271</v>
      </c>
      <c r="I38" s="65">
        <f>cent_dist/4</f>
        <v>2.25</v>
      </c>
      <c r="J38" s="65">
        <f>cent_dist/8</f>
        <v>1.125</v>
      </c>
      <c r="K38" s="65">
        <f>cent_dist/2</f>
        <v>4.5</v>
      </c>
      <c r="L38" s="65">
        <f>cent_dist/3</f>
        <v>3</v>
      </c>
      <c r="M38" s="33"/>
    </row>
    <row r="39" spans="1:13" hidden="1" x14ac:dyDescent="0.25">
      <c r="A39" s="33"/>
      <c r="B39" s="46"/>
      <c r="C39" s="33"/>
      <c r="D39" s="33"/>
      <c r="E39" s="33"/>
      <c r="F39" s="33"/>
      <c r="G39" s="33"/>
      <c r="H39" s="33" t="s">
        <v>325</v>
      </c>
      <c r="I39" s="65">
        <f>H33</f>
        <v>14.558232931726906</v>
      </c>
      <c r="J39" s="65">
        <f>H33</f>
        <v>14.558232931726906</v>
      </c>
      <c r="K39" s="65">
        <f>H33</f>
        <v>14.558232931726906</v>
      </c>
      <c r="L39" s="65">
        <f>H33</f>
        <v>14.558232931726906</v>
      </c>
      <c r="M39" s="33"/>
    </row>
    <row r="40" spans="1:13" hidden="1" x14ac:dyDescent="0.25">
      <c r="A40" s="33"/>
      <c r="B40" s="46"/>
      <c r="C40" s="33"/>
      <c r="D40" s="33"/>
      <c r="E40" s="33"/>
      <c r="F40" s="33"/>
      <c r="G40" s="33"/>
      <c r="H40" s="33" t="s">
        <v>324</v>
      </c>
      <c r="I40" s="65">
        <f>(I39-I37) *2</f>
        <v>0.34984311455137629</v>
      </c>
      <c r="J40" s="65">
        <f>(J39-J37) *4</f>
        <v>0.17413103734218538</v>
      </c>
      <c r="K40" s="65">
        <f>(K39-K37) *1</f>
        <v>0.71293964864988091</v>
      </c>
      <c r="L40" s="65">
        <f>(L39-L37) *1.3</f>
        <v>0.40619345220508801</v>
      </c>
      <c r="M40" s="33"/>
    </row>
    <row r="41" spans="1:13" hidden="1" x14ac:dyDescent="0.25">
      <c r="A41" s="33"/>
      <c r="B41" s="46"/>
      <c r="C41" s="33"/>
      <c r="D41" s="33"/>
      <c r="E41" s="33"/>
      <c r="F41" s="33"/>
      <c r="G41" s="33"/>
      <c r="H41" s="33" t="s">
        <v>263</v>
      </c>
      <c r="I41" s="65">
        <f>thk-I40</f>
        <v>-9.9843114551376289E-2</v>
      </c>
      <c r="J41" s="65">
        <f>thk-J40</f>
        <v>7.586896265781462E-2</v>
      </c>
      <c r="K41" s="65">
        <f>thk-K40</f>
        <v>-0.46293964864988091</v>
      </c>
      <c r="L41" s="65">
        <f>thk-L40</f>
        <v>-0.15619345220508801</v>
      </c>
      <c r="M41" s="33"/>
    </row>
    <row r="42" spans="1:13" hidden="1" x14ac:dyDescent="0.25">
      <c r="A42" s="33"/>
      <c r="B42" s="46"/>
      <c r="C42" s="33"/>
      <c r="D42" s="33"/>
      <c r="E42" s="33"/>
      <c r="F42" s="33"/>
      <c r="G42" s="33"/>
      <c r="H42" s="66">
        <f>E19</f>
        <v>16.156918322322042</v>
      </c>
      <c r="I42" s="65">
        <f>H42-(SQRT(((H42+(thk/4))^2)-((cent_dist/4)^2)))</f>
        <v>9.4321063021915563E-2</v>
      </c>
      <c r="J42" s="65">
        <f>ABS(I42)*-2</f>
        <v>-0.18864212604383113</v>
      </c>
      <c r="K42" s="33"/>
      <c r="L42" s="33"/>
      <c r="M42" s="33"/>
    </row>
    <row r="43" spans="1:13" hidden="1" x14ac:dyDescent="0.25">
      <c r="A43" s="33"/>
      <c r="B43" s="46"/>
      <c r="C43" s="33"/>
      <c r="D43" s="33"/>
      <c r="E43" s="33"/>
      <c r="F43" s="33"/>
      <c r="G43" s="33"/>
      <c r="H43" s="33"/>
      <c r="I43" s="33"/>
      <c r="J43" s="65">
        <f>E18/J42</f>
        <v>0.82798818843250899</v>
      </c>
      <c r="K43" s="33"/>
      <c r="L43" s="33"/>
      <c r="M43" s="33"/>
    </row>
    <row r="44" spans="1:13" hidden="1" x14ac:dyDescent="0.25">
      <c r="A44" s="33"/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 t="s">
        <v>323</v>
      </c>
      <c r="M44" s="33"/>
    </row>
    <row r="45" spans="1:13" hidden="1" x14ac:dyDescent="0.25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 t="s">
        <v>322</v>
      </c>
      <c r="M45" s="33"/>
    </row>
    <row r="46" spans="1:13" hidden="1" x14ac:dyDescent="0.25">
      <c r="A46" s="33"/>
      <c r="B46" s="46"/>
      <c r="C46" s="33"/>
      <c r="D46" s="33"/>
      <c r="E46" s="33"/>
      <c r="F46" s="33"/>
      <c r="G46" s="33"/>
      <c r="H46" s="33"/>
      <c r="I46" s="33"/>
      <c r="J46" s="33"/>
      <c r="K46" s="33"/>
      <c r="L46" s="33" t="s">
        <v>321</v>
      </c>
      <c r="M46" s="33"/>
    </row>
    <row r="47" spans="1:13" hidden="1" x14ac:dyDescent="0.25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 t="s">
        <v>320</v>
      </c>
      <c r="M47" s="33"/>
    </row>
    <row r="48" spans="1:13" hidden="1" x14ac:dyDescent="0.25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 t="s">
        <v>319</v>
      </c>
      <c r="M48" s="33"/>
    </row>
    <row r="49" spans="1:7" hidden="1" x14ac:dyDescent="0.25">
      <c r="A49" s="33"/>
      <c r="B49" s="33"/>
      <c r="C49" s="33"/>
      <c r="D49" s="33"/>
      <c r="E49" s="33"/>
      <c r="F49" s="33"/>
      <c r="G49" s="33"/>
    </row>
    <row r="50" spans="1:7" x14ac:dyDescent="0.25">
      <c r="A50" s="33"/>
      <c r="B50" s="33"/>
      <c r="C50" s="33"/>
      <c r="D50" s="33"/>
      <c r="E50" s="33"/>
      <c r="F50" s="33"/>
      <c r="G50" s="33"/>
    </row>
    <row r="51" spans="1:7" x14ac:dyDescent="0.25">
      <c r="A51" s="33"/>
      <c r="B51" s="33"/>
      <c r="C51" s="33"/>
      <c r="D51" s="33"/>
      <c r="E51" s="33"/>
      <c r="F51" s="33"/>
      <c r="G51" s="33"/>
    </row>
    <row r="52" spans="1:7" x14ac:dyDescent="0.25">
      <c r="A52" s="33"/>
      <c r="B52" s="33"/>
      <c r="C52" s="33"/>
      <c r="D52" s="33"/>
      <c r="E52" s="33"/>
      <c r="F52" s="33"/>
      <c r="G52" s="33"/>
    </row>
    <row r="53" spans="1:7" x14ac:dyDescent="0.25">
      <c r="A53" s="33"/>
      <c r="B53" s="33"/>
      <c r="C53" s="33"/>
      <c r="D53" s="33"/>
      <c r="E53" s="33"/>
      <c r="F53" s="33"/>
      <c r="G53" s="33"/>
    </row>
    <row r="54" spans="1:7" x14ac:dyDescent="0.25">
      <c r="A54" s="33"/>
      <c r="B54" s="33"/>
      <c r="C54" s="33"/>
      <c r="D54" s="33"/>
      <c r="E54" s="33"/>
      <c r="F54" s="33"/>
      <c r="G54" s="33"/>
    </row>
    <row r="55" spans="1:7" x14ac:dyDescent="0.25">
      <c r="A55" s="33"/>
      <c r="B55" s="33"/>
      <c r="C55" s="33"/>
      <c r="D55" s="33"/>
      <c r="E55" s="33"/>
      <c r="F55" s="33"/>
      <c r="G55" s="33"/>
    </row>
    <row r="56" spans="1:7" x14ac:dyDescent="0.25">
      <c r="A56" s="33"/>
      <c r="B56" s="33"/>
      <c r="C56" s="33"/>
      <c r="D56" s="33"/>
      <c r="E56" s="33"/>
      <c r="F56" s="33"/>
      <c r="G56" s="33"/>
    </row>
    <row r="57" spans="1:7" x14ac:dyDescent="0.25">
      <c r="A57" s="35"/>
      <c r="B57" s="36"/>
      <c r="C57" s="36"/>
      <c r="D57" s="33"/>
      <c r="E57" s="36"/>
      <c r="F57" s="36"/>
      <c r="G57" s="33"/>
    </row>
    <row r="58" spans="1:7" x14ac:dyDescent="0.25">
      <c r="A58" s="35"/>
      <c r="B58" s="36"/>
      <c r="C58" s="36"/>
      <c r="D58" s="33"/>
      <c r="E58" s="36"/>
      <c r="F58" s="36"/>
      <c r="G58" s="36"/>
    </row>
    <row r="59" spans="1:7" x14ac:dyDescent="0.25">
      <c r="A59" s="35"/>
      <c r="B59" s="36"/>
      <c r="C59" s="36"/>
      <c r="D59" s="33"/>
      <c r="E59" s="36"/>
      <c r="F59" s="36"/>
      <c r="G59" s="36"/>
    </row>
    <row r="60" spans="1:7" x14ac:dyDescent="0.25">
      <c r="A60" s="35"/>
      <c r="B60" s="36"/>
      <c r="C60" s="36"/>
      <c r="D60" s="33"/>
      <c r="E60" s="36"/>
      <c r="F60" s="36"/>
      <c r="G60" s="36"/>
    </row>
    <row r="61" spans="1:7" x14ac:dyDescent="0.25">
      <c r="A61" s="35"/>
      <c r="B61" s="36"/>
      <c r="C61" s="36"/>
      <c r="D61" s="33"/>
      <c r="E61" s="36"/>
      <c r="F61" s="36"/>
      <c r="G61" s="36"/>
    </row>
    <row r="62" spans="1:7" x14ac:dyDescent="0.25">
      <c r="A62" s="35"/>
      <c r="B62" s="36"/>
      <c r="C62" s="36"/>
      <c r="D62" s="33"/>
      <c r="E62" s="36"/>
      <c r="F62" s="36"/>
      <c r="G62" s="36"/>
    </row>
    <row r="63" spans="1:7" x14ac:dyDescent="0.25">
      <c r="A63" s="35"/>
      <c r="B63" s="36"/>
      <c r="C63" s="36"/>
      <c r="D63" s="33"/>
      <c r="E63" s="36"/>
      <c r="F63" s="36"/>
      <c r="G63" s="36"/>
    </row>
    <row r="64" spans="1:7" x14ac:dyDescent="0.25">
      <c r="A64" s="35"/>
      <c r="B64" s="36"/>
      <c r="C64" s="36"/>
      <c r="D64" s="33"/>
      <c r="E64" s="36"/>
      <c r="F64" s="33"/>
      <c r="G64" s="33"/>
    </row>
    <row r="65" spans="1:7" x14ac:dyDescent="0.25">
      <c r="A65" s="35"/>
      <c r="B65" s="36"/>
      <c r="C65" s="36"/>
      <c r="D65" s="33"/>
      <c r="E65" s="36"/>
      <c r="F65" s="36"/>
      <c r="G65" s="36"/>
    </row>
    <row r="66" spans="1:7" x14ac:dyDescent="0.25">
      <c r="A66" s="33"/>
      <c r="B66" s="33"/>
      <c r="C66" s="33"/>
      <c r="D66" s="33"/>
      <c r="E66" s="33"/>
      <c r="F66" s="33"/>
      <c r="G66" s="33"/>
    </row>
    <row r="67" spans="1:7" x14ac:dyDescent="0.25">
      <c r="A67" s="33"/>
      <c r="B67" s="33"/>
      <c r="C67" s="33"/>
      <c r="D67" s="33"/>
      <c r="E67" s="33"/>
      <c r="F67" s="33"/>
      <c r="G67" s="33"/>
    </row>
    <row r="68" spans="1:7" x14ac:dyDescent="0.25">
      <c r="A68" s="33"/>
      <c r="B68" s="33"/>
      <c r="C68" s="33"/>
      <c r="D68" s="33"/>
      <c r="E68" s="33"/>
      <c r="F68" s="33"/>
      <c r="G68" s="33"/>
    </row>
    <row r="69" spans="1:7" x14ac:dyDescent="0.25">
      <c r="A69" s="33"/>
      <c r="B69" s="33"/>
      <c r="C69" s="33"/>
      <c r="D69" s="33"/>
      <c r="E69" s="33"/>
      <c r="F69" s="33"/>
      <c r="G69" s="33"/>
    </row>
    <row r="70" spans="1:7" x14ac:dyDescent="0.25">
      <c r="A70" s="33"/>
      <c r="B70" s="33"/>
      <c r="C70" s="33"/>
      <c r="D70" s="33"/>
      <c r="E70" s="33"/>
      <c r="F70" s="33"/>
      <c r="G70" s="33"/>
    </row>
    <row r="71" spans="1:7" x14ac:dyDescent="0.25">
      <c r="A71" s="33"/>
      <c r="B71" s="33"/>
      <c r="C71" s="33"/>
      <c r="D71" s="33"/>
      <c r="E71" s="33"/>
      <c r="F71" s="33"/>
      <c r="G71" s="33"/>
    </row>
    <row r="72" spans="1:7" x14ac:dyDescent="0.25">
      <c r="A72" s="33"/>
      <c r="B72" s="33"/>
      <c r="C72" s="33"/>
      <c r="D72" s="33"/>
      <c r="E72" s="33"/>
      <c r="F72" s="33"/>
      <c r="G72" s="33"/>
    </row>
    <row r="73" spans="1:7" x14ac:dyDescent="0.25">
      <c r="A73" s="33"/>
      <c r="B73" s="33"/>
      <c r="C73" s="33"/>
      <c r="D73" s="33"/>
      <c r="E73" s="33"/>
      <c r="F73" s="33"/>
      <c r="G73" s="33"/>
    </row>
    <row r="74" spans="1:7" x14ac:dyDescent="0.25">
      <c r="A74" s="33"/>
      <c r="B74" s="33"/>
      <c r="C74" s="33"/>
      <c r="D74" s="33"/>
      <c r="E74" s="33"/>
      <c r="F74" s="33"/>
      <c r="G74" s="33"/>
    </row>
    <row r="75" spans="1:7" x14ac:dyDescent="0.25">
      <c r="A75" s="33"/>
      <c r="B75" s="33"/>
      <c r="C75" s="33"/>
      <c r="D75" s="33"/>
      <c r="E75" s="33"/>
      <c r="F75" s="33"/>
      <c r="G75" s="33"/>
    </row>
    <row r="76" spans="1:7" x14ac:dyDescent="0.25">
      <c r="A76" s="33"/>
      <c r="B76" s="33"/>
      <c r="C76" s="33"/>
      <c r="D76" s="33"/>
      <c r="E76" s="33"/>
      <c r="F76" s="33"/>
      <c r="G76" s="33"/>
    </row>
    <row r="77" spans="1:7" x14ac:dyDescent="0.25">
      <c r="A77" s="33"/>
      <c r="B77" s="33"/>
      <c r="C77" s="33"/>
      <c r="D77" s="33"/>
      <c r="E77" s="33"/>
      <c r="F77" s="33"/>
      <c r="G77" s="33"/>
    </row>
    <row r="78" spans="1:7" x14ac:dyDescent="0.25">
      <c r="A78" s="33"/>
      <c r="B78" s="33"/>
      <c r="C78" s="33"/>
      <c r="D78" s="33"/>
      <c r="E78" s="33"/>
      <c r="F78" s="33"/>
      <c r="G78" s="33"/>
    </row>
    <row r="79" spans="1:7" x14ac:dyDescent="0.25">
      <c r="A79" s="33"/>
      <c r="B79" s="33"/>
      <c r="C79" s="33"/>
      <c r="D79" s="33"/>
      <c r="E79" s="33"/>
      <c r="F79" s="33"/>
      <c r="G79" s="33"/>
    </row>
    <row r="80" spans="1:7" x14ac:dyDescent="0.25">
      <c r="A80" s="35"/>
      <c r="B80" s="36"/>
      <c r="C80" s="36"/>
      <c r="D80" s="33"/>
      <c r="E80" s="36"/>
      <c r="F80" s="36"/>
      <c r="G80" s="36"/>
    </row>
    <row r="81" spans="1:7" x14ac:dyDescent="0.25">
      <c r="A81" s="35"/>
      <c r="B81" s="36"/>
      <c r="C81" s="36"/>
      <c r="D81" s="33"/>
      <c r="E81" s="36"/>
      <c r="F81" s="36"/>
      <c r="G81" s="36"/>
    </row>
    <row r="82" spans="1:7" x14ac:dyDescent="0.25">
      <c r="A82" s="35"/>
      <c r="B82" s="36"/>
      <c r="C82" s="36"/>
      <c r="D82" s="33"/>
      <c r="E82" s="36"/>
      <c r="F82" s="36"/>
      <c r="G82" s="36"/>
    </row>
    <row r="83" spans="1:7" x14ac:dyDescent="0.25">
      <c r="A83" s="35"/>
      <c r="B83" s="36"/>
      <c r="C83" s="36"/>
      <c r="D83" s="33"/>
      <c r="E83" s="36"/>
      <c r="F83" s="36"/>
      <c r="G83" s="36"/>
    </row>
    <row r="84" spans="1:7" x14ac:dyDescent="0.25">
      <c r="A84" s="35"/>
      <c r="B84" s="36"/>
      <c r="C84" s="36"/>
      <c r="D84" s="33"/>
      <c r="E84" s="36"/>
      <c r="F84" s="36"/>
      <c r="G84" s="36"/>
    </row>
    <row r="85" spans="1:7" x14ac:dyDescent="0.25">
      <c r="A85" s="35"/>
      <c r="B85" s="36"/>
      <c r="C85" s="36"/>
      <c r="D85" s="33"/>
      <c r="E85" s="36"/>
      <c r="F85" s="36"/>
      <c r="G85" s="36"/>
    </row>
    <row r="86" spans="1:7" x14ac:dyDescent="0.25">
      <c r="A86" s="33"/>
      <c r="B86" s="33"/>
      <c r="C86" s="33"/>
      <c r="D86" s="33"/>
      <c r="E86" s="33"/>
      <c r="F86" s="33"/>
      <c r="G86" s="33"/>
    </row>
    <row r="87" spans="1:7" x14ac:dyDescent="0.25">
      <c r="A87" s="33"/>
      <c r="B87" s="33"/>
      <c r="C87" s="33"/>
      <c r="D87" s="33"/>
      <c r="E87" s="33"/>
      <c r="F87" s="33"/>
      <c r="G87" s="33"/>
    </row>
  </sheetData>
  <sheetProtection algorithmName="SHA-512" hashValue="XS76HT4+LLcA1Nmpxfjy+uqdiSQj19991lXXnbmkuqsFWXscHNveXctTIdX8EOd/pu8VV5FnL1VWg5/4hkJe6g==" saltValue="v3F8YEpTngRN6/POTE51CA==" spinCount="100000" sheet="1" objects="1" scenarios="1"/>
  <mergeCells count="3">
    <mergeCell ref="B4:F4"/>
    <mergeCell ref="B5:F5"/>
    <mergeCell ref="B6:F6"/>
  </mergeCells>
  <conditionalFormatting sqref="E18 K18 G18:I18">
    <cfRule type="cellIs" dxfId="121" priority="7" stopIfTrue="1" operator="notBetween">
      <formula>$B$23</formula>
      <formula>1.25*thk</formula>
    </cfRule>
  </conditionalFormatting>
  <conditionalFormatting sqref="E24 K24 G24 I24">
    <cfRule type="cellIs" dxfId="120" priority="8" stopIfTrue="1" operator="greaterThan">
      <formula>$B$21</formula>
    </cfRule>
  </conditionalFormatting>
  <conditionalFormatting sqref="E14 K14 G14:I14">
    <cfRule type="cellIs" dxfId="119" priority="9" stopIfTrue="1" operator="equal">
      <formula>"ROLLER TOO HIGH!"</formula>
    </cfRule>
  </conditionalFormatting>
  <conditionalFormatting sqref="L24">
    <cfRule type="cellIs" dxfId="118" priority="10" stopIfTrue="1" operator="equal">
      <formula>"NOT ENOUGH FORCE!"</formula>
    </cfRule>
  </conditionalFormatting>
  <conditionalFormatting sqref="C25">
    <cfRule type="cellIs" dxfId="117" priority="11" stopIfTrue="1" operator="equal">
      <formula>"WILL NOT STRAIGHTEN"</formula>
    </cfRule>
    <cfRule type="cellIs" dxfId="116" priority="12" stopIfTrue="1" operator="equal">
      <formula>"OK"</formula>
    </cfRule>
  </conditionalFormatting>
  <conditionalFormatting sqref="C26">
    <cfRule type="cellIs" dxfId="115" priority="13" stopIfTrue="1" operator="equal">
      <formula>"NOT ENOUGH FORCE"</formula>
    </cfRule>
    <cfRule type="cellIs" dxfId="114" priority="14" stopIfTrue="1" operator="equal">
      <formula>"OK"</formula>
    </cfRule>
  </conditionalFormatting>
  <conditionalFormatting sqref="E26">
    <cfRule type="cellIs" dxfId="113" priority="1" operator="between">
      <formula>47%</formula>
      <formula>70%</formula>
    </cfRule>
    <cfRule type="cellIs" dxfId="112" priority="2" operator="greaterThan">
      <formula>70%</formula>
    </cfRule>
    <cfRule type="cellIs" dxfId="111" priority="3" operator="lessThan">
      <formula>47%</formula>
    </cfRule>
  </conditionalFormatting>
  <dataValidations count="1">
    <dataValidation errorTitle="Roller Depth too great" error="You have engaged the rollers too far." sqref="K18 E18 G18:I18" xr:uid="{F0D91A74-F405-4D6F-9BEB-0F410BFE30F8}"/>
  </dataValidations>
  <pageMargins left="0.75" right="0.75" top="1" bottom="1" header="0.5" footer="0.5"/>
  <pageSetup scale="68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7412" r:id="rId4" name="CommandButton1">
          <controlPr defaultSize="0" autoLine="0" autoPict="0" r:id="rId5">
            <anchor moveWithCells="1">
              <from>
                <xdr:col>3</xdr:col>
                <xdr:colOff>19050</xdr:colOff>
                <xdr:row>13</xdr:row>
                <xdr:rowOff>209550</xdr:rowOff>
              </from>
              <to>
                <xdr:col>3</xdr:col>
                <xdr:colOff>971550</xdr:colOff>
                <xdr:row>15</xdr:row>
                <xdr:rowOff>180975</xdr:rowOff>
              </to>
            </anchor>
          </controlPr>
        </control>
      </mc:Choice>
      <mc:Fallback>
        <control shapeId="17412" r:id="rId4" name="CommandButton1"/>
      </mc:Fallback>
    </mc:AlternateContent>
    <mc:AlternateContent xmlns:mc="http://schemas.openxmlformats.org/markup-compatibility/2006">
      <mc:Choice Requires="x14">
        <control shapeId="17409" r:id="rId6" name="Spinner 1">
          <controlPr defaultSize="0" autoPict="0">
            <anchor moveWithCells="1" sizeWithCells="1">
              <from>
                <xdr:col>4</xdr:col>
                <xdr:colOff>0</xdr:colOff>
                <xdr:row>14</xdr:row>
                <xdr:rowOff>9525</xdr:rowOff>
              </from>
              <to>
                <xdr:col>5</xdr:col>
                <xdr:colOff>9525</xdr:colOff>
                <xdr:row>15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9" r:id="rId7" name="Button 11">
          <controlPr defaultSize="0" print="0" autoFill="0" autoPict="0" macro="[0]!Tbl_Contents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257175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21" r:id="rId8" name="Check Box 13">
          <controlPr defaultSize="0" autoFill="0" autoLine="0" autoPict="0" altText="Confirmed">
            <anchor moveWithCells="1">
              <from>
                <xdr:col>1</xdr:col>
                <xdr:colOff>104775</xdr:colOff>
                <xdr:row>27</xdr:row>
                <xdr:rowOff>161925</xdr:rowOff>
              </from>
              <to>
                <xdr:col>1</xdr:col>
                <xdr:colOff>847725</xdr:colOff>
                <xdr:row>27</xdr:row>
                <xdr:rowOff>476250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28" r:id="rId9" name="Button 20">
          <controlPr defaultSize="0" print="0" autoFill="0" autoPict="0" macro="[0]!JumpToFeed">
            <anchor moveWithCells="1" sizeWithCells="1">
              <from>
                <xdr:col>11</xdr:col>
                <xdr:colOff>85725</xdr:colOff>
                <xdr:row>19</xdr:row>
                <xdr:rowOff>228600</xdr:rowOff>
              </from>
              <to>
                <xdr:col>12</xdr:col>
                <xdr:colOff>561975</xdr:colOff>
                <xdr:row>20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29" r:id="rId10" name="Button 21">
          <controlPr defaultSize="0" print="0" autoFill="0" autoPict="0" macro="[0]!JumpToTDDBHD">
            <anchor moveWithCells="1" sizeWithCells="1">
              <from>
                <xdr:col>11</xdr:col>
                <xdr:colOff>85725</xdr:colOff>
                <xdr:row>18</xdr:row>
                <xdr:rowOff>161925</xdr:rowOff>
              </from>
              <to>
                <xdr:col>12</xdr:col>
                <xdr:colOff>552450</xdr:colOff>
                <xdr:row>19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30" r:id="rId11" name="Button 22">
          <controlPr defaultSize="0" print="0" autoFill="0" autoPict="0" macro="[0]!JumpToStrUtility">
            <anchor moveWithCells="1" sizeWithCells="1">
              <from>
                <xdr:col>11</xdr:col>
                <xdr:colOff>76200</xdr:colOff>
                <xdr:row>19</xdr:row>
                <xdr:rowOff>38100</xdr:rowOff>
              </from>
              <to>
                <xdr:col>12</xdr:col>
                <xdr:colOff>561975</xdr:colOff>
                <xdr:row>19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31" r:id="rId12" name="Button 23">
          <controlPr defaultSize="0" print="0" autoFill="0" autoPict="0" macro="[0]!JumpToEquipmentSummary">
            <anchor moveWithCells="1" sizeWithCells="1">
              <from>
                <xdr:col>11</xdr:col>
                <xdr:colOff>76200</xdr:colOff>
                <xdr:row>17</xdr:row>
                <xdr:rowOff>238125</xdr:rowOff>
              </from>
              <to>
                <xdr:col>12</xdr:col>
                <xdr:colOff>561975</xdr:colOff>
                <xdr:row>18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32" r:id="rId13" name="Button 24">
          <controlPr defaultSize="0" print="0" autoFill="0" autoPict="0" macro="[0]!JumpToRFQ">
            <anchor moveWithCells="1" sizeWithCells="1">
              <from>
                <xdr:col>11</xdr:col>
                <xdr:colOff>76200</xdr:colOff>
                <xdr:row>16</xdr:row>
                <xdr:rowOff>47625</xdr:rowOff>
              </from>
              <to>
                <xdr:col>12</xdr:col>
                <xdr:colOff>561975</xdr:colOff>
                <xdr:row>17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33" r:id="rId14" name="Button 25">
          <controlPr defaultSize="0" print="0" autoFill="0" autoPict="0" macro="[0]!JumpToMaterialSpecs">
            <anchor moveWithCells="1" sizeWithCells="1">
              <from>
                <xdr:col>11</xdr:col>
                <xdr:colOff>76200</xdr:colOff>
                <xdr:row>17</xdr:row>
                <xdr:rowOff>38100</xdr:rowOff>
              </from>
              <to>
                <xdr:col>12</xdr:col>
                <xdr:colOff>561975</xdr:colOff>
                <xdr:row>17</xdr:row>
                <xdr:rowOff>228600</xdr:rowOff>
              </to>
            </anchor>
          </controlPr>
        </control>
      </mc:Choice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65F2FB-391F-45F8-93FC-E487DAC40DEC}">
  <sheetPr codeName="Sheet13">
    <tabColor rgb="FFFFFF00"/>
    <pageSetUpPr fitToPage="1"/>
  </sheetPr>
  <dimension ref="A1:O87"/>
  <sheetViews>
    <sheetView zoomScale="85" workbookViewId="0">
      <selection activeCell="B28" sqref="B28"/>
    </sheetView>
  </sheetViews>
  <sheetFormatPr defaultRowHeight="15" x14ac:dyDescent="0.25"/>
  <cols>
    <col min="1" max="1" width="21.5703125" customWidth="1"/>
    <col min="2" max="2" width="15.5703125" customWidth="1"/>
    <col min="3" max="4" width="15.140625" customWidth="1"/>
    <col min="5" max="5" width="14.7109375" customWidth="1"/>
    <col min="6" max="6" width="13" customWidth="1"/>
    <col min="7" max="9" width="14.140625" customWidth="1"/>
    <col min="10" max="10" width="12.42578125" customWidth="1"/>
    <col min="11" max="11" width="14.140625" customWidth="1"/>
    <col min="12" max="12" width="12.7109375" customWidth="1"/>
  </cols>
  <sheetData>
    <row r="1" spans="1:11" ht="18.75" x14ac:dyDescent="0.3">
      <c r="A1" s="33"/>
      <c r="B1" s="42"/>
      <c r="C1" s="33"/>
      <c r="D1" s="33"/>
      <c r="E1" s="145" t="s">
        <v>0</v>
      </c>
      <c r="F1" s="33"/>
      <c r="G1" s="33"/>
      <c r="H1" s="33"/>
      <c r="I1" s="33"/>
      <c r="J1" s="33"/>
      <c r="K1" s="33"/>
    </row>
    <row r="2" spans="1:11" x14ac:dyDescent="0.25">
      <c r="A2" s="33"/>
      <c r="B2" s="42"/>
      <c r="C2" s="33"/>
      <c r="D2" s="33"/>
      <c r="E2" s="144" t="s">
        <v>368</v>
      </c>
      <c r="F2" s="33"/>
      <c r="G2" s="33"/>
      <c r="H2" s="33"/>
      <c r="I2" s="33"/>
      <c r="J2" s="33"/>
      <c r="K2" s="33"/>
    </row>
    <row r="3" spans="1:11" x14ac:dyDescent="0.25">
      <c r="A3" s="33"/>
      <c r="B3" s="33"/>
      <c r="C3" s="33"/>
      <c r="D3" s="33"/>
      <c r="E3" s="144"/>
      <c r="F3" s="33"/>
      <c r="G3" s="33"/>
      <c r="H3" s="33"/>
      <c r="I3" s="33"/>
      <c r="J3" s="33"/>
      <c r="K3" s="33"/>
    </row>
    <row r="4" spans="1:11" x14ac:dyDescent="0.25">
      <c r="A4" s="143" t="s">
        <v>1</v>
      </c>
      <c r="B4" s="997" t="str">
        <f>Customer</f>
        <v>ULTRATECH TOOL&amp; DESIGN, INC.</v>
      </c>
      <c r="C4" s="997"/>
      <c r="D4" s="997"/>
      <c r="E4" s="997"/>
      <c r="F4" s="997"/>
      <c r="G4" s="33"/>
      <c r="H4" s="33"/>
      <c r="I4" s="33"/>
      <c r="J4" s="33"/>
      <c r="K4" s="33"/>
    </row>
    <row r="5" spans="1:11" x14ac:dyDescent="0.25">
      <c r="A5" s="143" t="s">
        <v>2</v>
      </c>
      <c r="B5" s="998">
        <f>CalcDate</f>
        <v>0</v>
      </c>
      <c r="C5" s="997"/>
      <c r="D5" s="997"/>
      <c r="E5" s="997"/>
      <c r="F5" s="997"/>
      <c r="G5" s="33"/>
      <c r="H5" s="33"/>
      <c r="I5" s="33"/>
      <c r="J5" s="33"/>
      <c r="K5" s="33"/>
    </row>
    <row r="6" spans="1:11" x14ac:dyDescent="0.25">
      <c r="A6" s="143" t="s">
        <v>3</v>
      </c>
      <c r="B6" s="997">
        <f>Reference</f>
        <v>0</v>
      </c>
      <c r="C6" s="997"/>
      <c r="D6" s="997"/>
      <c r="E6" s="997"/>
      <c r="F6" s="997"/>
      <c r="G6" s="33"/>
      <c r="H6" s="33"/>
      <c r="I6" s="33"/>
      <c r="J6" s="33"/>
      <c r="K6" s="33"/>
    </row>
    <row r="8" spans="1:11" ht="16.5" customHeight="1" x14ac:dyDescent="0.25">
      <c r="A8" s="146"/>
      <c r="B8" s="147"/>
      <c r="C8" s="148"/>
      <c r="D8" s="123" t="s">
        <v>366</v>
      </c>
      <c r="E8" s="132">
        <v>-60</v>
      </c>
      <c r="F8" s="33" t="s">
        <v>365</v>
      </c>
      <c r="G8" s="33"/>
      <c r="H8" s="33"/>
      <c r="I8" s="33"/>
      <c r="J8" s="33"/>
      <c r="K8" s="33"/>
    </row>
    <row r="9" spans="1:11" x14ac:dyDescent="0.25">
      <c r="A9" s="149"/>
      <c r="B9" s="150"/>
      <c r="C9" s="148"/>
      <c r="D9" s="123" t="s">
        <v>364</v>
      </c>
      <c r="E9" s="132">
        <f>IF(ABS(1/$E$8)&gt;curv_at_yld, 1/((1/$E$8)-((ABS($E$8)/$E$8)*(1.5*(1-$F$32))*curv_at_yld*(1-((1/3)*(curv_at_yld/(1/$E$8))^2)))), IF($F$32=0, ABS($E$8)/$E$8*99999, $E$8/$F$32))</f>
        <v>-181.81818181818181</v>
      </c>
      <c r="F9" s="33" t="s">
        <v>363</v>
      </c>
      <c r="G9" s="33"/>
      <c r="H9" s="33"/>
      <c r="I9" s="33"/>
      <c r="J9" s="33"/>
      <c r="K9" s="33"/>
    </row>
    <row r="10" spans="1:11" ht="15.75" thickBot="1" x14ac:dyDescent="0.3">
      <c r="A10" s="33"/>
      <c r="B10" s="33"/>
      <c r="C10" s="33"/>
      <c r="D10" s="123" t="s">
        <v>362</v>
      </c>
      <c r="E10" s="138">
        <f>1/$E$9</f>
        <v>-5.5000000000000005E-3</v>
      </c>
      <c r="F10" s="33"/>
      <c r="G10" s="33"/>
      <c r="H10" s="33"/>
      <c r="I10" s="33"/>
      <c r="J10" s="33"/>
      <c r="K10" s="33"/>
    </row>
    <row r="11" spans="1:11" x14ac:dyDescent="0.25">
      <c r="A11" s="140" t="s">
        <v>361</v>
      </c>
      <c r="B11" s="139">
        <f>CoilWidth_2</f>
        <v>16</v>
      </c>
      <c r="C11" s="33" t="s">
        <v>336</v>
      </c>
      <c r="D11" s="123" t="s">
        <v>360</v>
      </c>
      <c r="E11" s="138">
        <f>2*yield/(thk*modulus)</f>
        <v>2.2988505747126436E-2</v>
      </c>
      <c r="F11" s="33"/>
      <c r="G11" s="33"/>
      <c r="H11" s="33"/>
      <c r="I11" s="33"/>
      <c r="J11" s="33"/>
      <c r="K11" s="33"/>
    </row>
    <row r="12" spans="1:11" x14ac:dyDescent="0.25">
      <c r="A12" s="135" t="s">
        <v>359</v>
      </c>
      <c r="B12" s="137">
        <f>Thickness_2</f>
        <v>0.3</v>
      </c>
      <c r="C12" s="36" t="s">
        <v>336</v>
      </c>
      <c r="D12" s="136" t="s">
        <v>358</v>
      </c>
      <c r="E12" s="132">
        <f>1/curv_at_yld</f>
        <v>43.5</v>
      </c>
      <c r="F12" s="33" t="s">
        <v>357</v>
      </c>
      <c r="G12" s="33"/>
      <c r="H12" s="33"/>
      <c r="I12" s="33"/>
      <c r="J12" s="33"/>
      <c r="K12" s="33"/>
    </row>
    <row r="13" spans="1:11" x14ac:dyDescent="0.25">
      <c r="A13" s="135" t="s">
        <v>356</v>
      </c>
      <c r="B13" s="437">
        <f>YieldStrength_2</f>
        <v>100000</v>
      </c>
      <c r="C13" s="130" t="s">
        <v>11</v>
      </c>
      <c r="D13" s="133" t="s">
        <v>355</v>
      </c>
      <c r="E13" s="132">
        <f>width*yield*(thk^2)/6</f>
        <v>24000</v>
      </c>
      <c r="F13" s="33" t="s">
        <v>354</v>
      </c>
      <c r="G13" s="33"/>
      <c r="H13" s="33"/>
      <c r="I13" s="33"/>
      <c r="J13" s="33"/>
      <c r="K13" s="33"/>
    </row>
    <row r="14" spans="1:11" ht="17.25" customHeight="1" x14ac:dyDescent="0.25">
      <c r="A14" s="131" t="s">
        <v>353</v>
      </c>
      <c r="B14" s="441" t="str">
        <f>Material_2</f>
        <v>HS Steel</v>
      </c>
      <c r="C14" s="130"/>
      <c r="D14" s="130"/>
      <c r="E14" s="129" t="str">
        <f>IF(E21&gt;0,"", "ROLLER TOO HIGH!")</f>
        <v/>
      </c>
      <c r="F14" s="33"/>
      <c r="G14" s="129" t="str">
        <f>IF(G21&gt;0,"", "ROLLER TOO HIGH!")</f>
        <v/>
      </c>
      <c r="H14" s="129"/>
      <c r="I14" s="129" t="str">
        <f>IF(I21&gt;0,"", "ROLLER TOO HIGH!")</f>
        <v/>
      </c>
      <c r="J14" s="33"/>
      <c r="K14" s="129" t="str">
        <f>IF(K21&gt;0,"", "ROLLER TOO HIGH!")</f>
        <v/>
      </c>
    </row>
    <row r="15" spans="1:11" ht="17.25" customHeight="1" thickBot="1" x14ac:dyDescent="0.3">
      <c r="A15" s="151" t="s">
        <v>965</v>
      </c>
      <c r="B15" s="441" t="str">
        <f>'Str. Utility (2)'!model</f>
        <v>CPPS-507</v>
      </c>
      <c r="C15" s="36"/>
      <c r="D15" s="33"/>
      <c r="E15" s="33"/>
      <c r="F15" s="33"/>
      <c r="G15" s="33"/>
      <c r="H15" s="33"/>
      <c r="I15" s="33"/>
      <c r="J15" s="33"/>
      <c r="K15" s="33"/>
    </row>
    <row r="16" spans="1:11" ht="15" customHeight="1" thickBot="1" x14ac:dyDescent="0.3">
      <c r="A16" s="68"/>
      <c r="B16" s="33"/>
      <c r="C16" s="36"/>
      <c r="D16" s="33"/>
      <c r="E16" s="152">
        <v>9962.6321440776101</v>
      </c>
      <c r="F16" s="33"/>
      <c r="G16" s="46"/>
      <c r="H16" s="46"/>
      <c r="I16" s="46"/>
      <c r="J16" s="33"/>
      <c r="K16" s="46"/>
    </row>
    <row r="17" spans="1:15" ht="15.75" thickBot="1" x14ac:dyDescent="0.3">
      <c r="A17" s="123"/>
      <c r="B17" s="33"/>
      <c r="C17" s="33"/>
      <c r="D17" s="122"/>
      <c r="E17" s="121" t="s">
        <v>351</v>
      </c>
      <c r="F17" s="119"/>
      <c r="G17" s="120" t="s">
        <v>350</v>
      </c>
      <c r="H17" s="120"/>
      <c r="I17" s="120" t="s">
        <v>350</v>
      </c>
      <c r="J17" s="119"/>
      <c r="K17" s="118" t="s">
        <v>349</v>
      </c>
      <c r="L17" s="33"/>
      <c r="M17" s="33"/>
      <c r="N17" s="33"/>
      <c r="O17" s="65"/>
    </row>
    <row r="18" spans="1:15" ht="21.75" customHeight="1" x14ac:dyDescent="0.25">
      <c r="A18" s="153" t="s">
        <v>348</v>
      </c>
      <c r="B18" s="116">
        <f>VLOOKUP($B$15,LookupStrModel,2,FALSE)</f>
        <v>5</v>
      </c>
      <c r="C18" s="71" t="s">
        <v>336</v>
      </c>
      <c r="D18" s="154" t="s">
        <v>370</v>
      </c>
      <c r="E18" s="114">
        <f>IF((E16-10000)/1000&lt;$B23, "TOO DEEP!", (E16-10000)/1000)</f>
        <v>-3.7367855922389934E-2</v>
      </c>
      <c r="F18" s="112"/>
      <c r="G18" s="113">
        <f>E18+((K18-E18)/3)</f>
        <v>5.5088096051740046E-2</v>
      </c>
      <c r="H18" s="155"/>
      <c r="I18" s="113">
        <f>G18+((K18-E18)/3)</f>
        <v>0.14754404802587001</v>
      </c>
      <c r="J18" s="112"/>
      <c r="K18" s="111">
        <f>thk*0.8</f>
        <v>0.24</v>
      </c>
      <c r="L18" s="33"/>
      <c r="M18" s="33"/>
      <c r="N18" s="33"/>
      <c r="O18" s="33"/>
    </row>
    <row r="19" spans="1:15" ht="25.5" x14ac:dyDescent="0.25">
      <c r="A19" s="131" t="s">
        <v>346</v>
      </c>
      <c r="B19" s="98">
        <f>VLOOKUP($B$15,LookupStrModel,3,FALSE)</f>
        <v>9</v>
      </c>
      <c r="C19" s="71" t="s">
        <v>336</v>
      </c>
      <c r="D19" s="156" t="s">
        <v>345</v>
      </c>
      <c r="E19" s="109">
        <f>(1.314-$D$31*thk+$D$32*E18)*((-0.25*cent_dist^2)-(E18^2)+(2*E18*thk)-thk^2)/(4*(E18+0.00000001)-4*thk)</f>
        <v>19.727046130208169</v>
      </c>
      <c r="F19" s="93">
        <f>-E19</f>
        <v>-19.727046130208169</v>
      </c>
      <c r="G19" s="93">
        <f>((-0.25*cent_dist^2)-(G$18^2)+(2*G$18*thk)-thk^2)/(4*(G$18+0.00000001)-4*thk)</f>
        <v>20.731926809755354</v>
      </c>
      <c r="H19" s="93">
        <f>-G19</f>
        <v>-20.731926809755354</v>
      </c>
      <c r="I19" s="93">
        <f>((-0.25*cent_dist^2)-(I$18^2)+(2*I$18*thk)-thk^2)/(4*(I$18+0.00000001)-4*thk)</f>
        <v>33.244428775253098</v>
      </c>
      <c r="J19" s="93">
        <f>-I19</f>
        <v>-33.244428775253098</v>
      </c>
      <c r="K19" s="108">
        <f>(1.314-$D$31*thk+$D$32*K18)*((-0.25*cent_dist^2)-(K18^2)+(2*K18*thk)-thk^2)/(4*(K18+0.00000001)-4*thk)</f>
        <v>114.53412708902118</v>
      </c>
      <c r="L19" s="33"/>
      <c r="M19" s="33"/>
      <c r="N19" s="33"/>
      <c r="O19" s="33"/>
    </row>
    <row r="20" spans="1:15" ht="25.5" x14ac:dyDescent="0.25">
      <c r="A20" s="131" t="s">
        <v>344</v>
      </c>
      <c r="B20" s="107">
        <f>VLOOKUP($B$14,LookupMaterial,3,FALSE)</f>
        <v>29000000</v>
      </c>
      <c r="C20" s="71" t="s">
        <v>11</v>
      </c>
      <c r="D20" s="157" t="s">
        <v>343</v>
      </c>
      <c r="E20" s="105" t="s">
        <v>277</v>
      </c>
      <c r="F20" s="104" t="s">
        <v>278</v>
      </c>
      <c r="G20" s="104" t="s">
        <v>277</v>
      </c>
      <c r="H20" s="104" t="s">
        <v>278</v>
      </c>
      <c r="I20" s="104" t="s">
        <v>277</v>
      </c>
      <c r="J20" s="104" t="s">
        <v>278</v>
      </c>
      <c r="K20" s="103" t="s">
        <v>277</v>
      </c>
      <c r="L20" s="33"/>
      <c r="M20" s="33"/>
      <c r="N20" s="33"/>
      <c r="O20" s="33"/>
    </row>
    <row r="21" spans="1:15" ht="27.75" customHeight="1" x14ac:dyDescent="0.25">
      <c r="A21" s="131" t="s">
        <v>342</v>
      </c>
      <c r="B21" s="158">
        <f>VLOOKUP($B$15,LookupStrModel,5,FALSE)</f>
        <v>60000</v>
      </c>
      <c r="C21" s="159" t="s">
        <v>341</v>
      </c>
      <c r="D21" s="156" t="s">
        <v>340</v>
      </c>
      <c r="E21" s="88">
        <f>1/E19-$E$10</f>
        <v>5.6191826510644832E-2</v>
      </c>
      <c r="F21" s="87">
        <f t="shared" ref="F21:K21" si="0">1/F19-1/E27</f>
        <v>-6.8824676748330427E-2</v>
      </c>
      <c r="G21" s="87">
        <f t="shared" si="0"/>
        <v>6.5726222877152768E-2</v>
      </c>
      <c r="H21" s="87">
        <f t="shared" si="0"/>
        <v>-6.3392936349592602E-2</v>
      </c>
      <c r="I21" s="87">
        <f t="shared" si="0"/>
        <v>4.5343795866870616E-2</v>
      </c>
      <c r="J21" s="87">
        <f t="shared" si="0"/>
        <v>-2.8632078440194948E-2</v>
      </c>
      <c r="K21" s="86">
        <f t="shared" si="0"/>
        <v>1.1738120942533353E-2</v>
      </c>
      <c r="L21" s="33"/>
      <c r="M21" s="33"/>
      <c r="N21" s="33"/>
      <c r="O21" s="33"/>
    </row>
    <row r="22" spans="1:15" ht="45" customHeight="1" x14ac:dyDescent="0.25">
      <c r="A22" s="160" t="s">
        <v>339</v>
      </c>
      <c r="B22" s="98">
        <f>VLOOKUP($B$15,LookupStrModel,6,FALSE)</f>
        <v>-1.25</v>
      </c>
      <c r="C22" s="71" t="s">
        <v>336</v>
      </c>
      <c r="D22" s="161" t="s">
        <v>338</v>
      </c>
      <c r="E22" s="94">
        <f t="shared" ref="E22:K22" si="1">IF(ABS(E21)&lt;curv_at_yld, (modulus*width*thk^3)/(12)*(E21), (ABS(E21)/E21)*1.5*My*(1-1/3*((curv_at_yld/E21)^2)))</f>
        <v>33991.571228969449</v>
      </c>
      <c r="F22" s="93">
        <f t="shared" si="1"/>
        <v>-34661.204106615129</v>
      </c>
      <c r="G22" s="93">
        <f t="shared" si="1"/>
        <v>34532.00227752416</v>
      </c>
      <c r="H22" s="93">
        <f t="shared" si="1"/>
        <v>-34421.94914536034</v>
      </c>
      <c r="I22" s="93">
        <f t="shared" si="1"/>
        <v>32915.626342684162</v>
      </c>
      <c r="J22" s="93">
        <f t="shared" si="1"/>
        <v>-28264.346972749801</v>
      </c>
      <c r="K22" s="92">
        <f t="shared" si="1"/>
        <v>12254.598264004821</v>
      </c>
      <c r="L22" s="33"/>
      <c r="M22" s="33"/>
      <c r="N22" s="33"/>
      <c r="O22" s="33"/>
    </row>
    <row r="23" spans="1:15" ht="45" customHeight="1" thickBot="1" x14ac:dyDescent="0.3">
      <c r="A23" s="162" t="s">
        <v>337</v>
      </c>
      <c r="B23" s="163">
        <f>IF((B$18+thk)^2-(cent_dist/2)^2&lt;0, B22, IF(B$18-SQRT((B$18+thk)^2-(cent_dist/2)^2)&lt;-B22, -B$18+SQRT((B$18+thk)^2-(cent_dist/2)^2), B22))</f>
        <v>-1.25</v>
      </c>
      <c r="C23" s="71" t="s">
        <v>336</v>
      </c>
      <c r="D23" s="156" t="s">
        <v>335</v>
      </c>
      <c r="E23" s="88">
        <f t="shared" ref="E23:K23" si="2">E22/My</f>
        <v>1.4163154678737271</v>
      </c>
      <c r="F23" s="87">
        <f t="shared" si="2"/>
        <v>-1.4442168377756304</v>
      </c>
      <c r="G23" s="87">
        <f t="shared" si="2"/>
        <v>1.4388334282301734</v>
      </c>
      <c r="H23" s="87">
        <f t="shared" si="2"/>
        <v>-1.4342478810566808</v>
      </c>
      <c r="I23" s="87">
        <f t="shared" si="2"/>
        <v>1.3714844309451735</v>
      </c>
      <c r="J23" s="87">
        <f t="shared" si="2"/>
        <v>-1.177681123864575</v>
      </c>
      <c r="K23" s="86">
        <f t="shared" si="2"/>
        <v>0.51060826100020085</v>
      </c>
      <c r="L23" s="33"/>
      <c r="M23" s="33"/>
      <c r="N23" s="33"/>
      <c r="O23" s="33"/>
    </row>
    <row r="24" spans="1:15" ht="45" customHeight="1" thickBot="1" x14ac:dyDescent="0.3">
      <c r="A24" s="72"/>
      <c r="B24" s="71"/>
      <c r="C24" s="71"/>
      <c r="D24" s="156" t="s">
        <v>334</v>
      </c>
      <c r="E24" s="94">
        <f>E22*5.333/cent_dist</f>
        <v>20141.894373788229</v>
      </c>
      <c r="F24" s="93"/>
      <c r="G24" s="93">
        <f>G22*5.333/cent_dist</f>
        <v>20462.129794004039</v>
      </c>
      <c r="H24" s="93"/>
      <c r="I24" s="93">
        <f>I22*5.333/cent_dist</f>
        <v>19504.337253948292</v>
      </c>
      <c r="J24" s="93"/>
      <c r="K24" s="92">
        <f>K22*5.3333/cent_dist</f>
        <v>7261.9387690463236</v>
      </c>
      <c r="L24" s="91" t="str">
        <f>IF(E24&gt;B21, "NOT ENOUGH FORCE!", IF(G24&gt;B21, "NOT ENOUGH FORCE!", IF(K24&gt;B21, "NOT ENOUGH FORCE!", "")))</f>
        <v/>
      </c>
      <c r="M24" s="33"/>
      <c r="N24" s="33"/>
      <c r="O24" s="33"/>
    </row>
    <row r="25" spans="1:15" ht="50.25" customHeight="1" x14ac:dyDescent="0.25">
      <c r="A25" s="90" t="s">
        <v>333</v>
      </c>
      <c r="B25" s="89">
        <f>-(1.5*rad_at_yld-thk-SQRT(ABS(((1.5*rad_at_yld)^2)-(cent_dist/2)^2)))</f>
        <v>0.14464263670244293</v>
      </c>
      <c r="C25" s="81" t="str">
        <f>IF(B25&gt;B23, "OK", "WILL NOT STRAIGHTEN")</f>
        <v>OK</v>
      </c>
      <c r="D25" s="156" t="s">
        <v>332</v>
      </c>
      <c r="E25" s="88">
        <f t="shared" ref="E25:K25" si="3">-curv_at_yld*E23</f>
        <v>-3.2558976272959242E-2</v>
      </c>
      <c r="F25" s="87">
        <f t="shared" si="3"/>
        <v>3.3200387075301846E-2</v>
      </c>
      <c r="G25" s="87">
        <f t="shared" si="3"/>
        <v>-3.3076630534026971E-2</v>
      </c>
      <c r="H25" s="87">
        <f t="shared" si="3"/>
        <v>3.2971215656475421E-2</v>
      </c>
      <c r="I25" s="87">
        <f t="shared" si="3"/>
        <v>-3.1528377722877553E-2</v>
      </c>
      <c r="J25" s="87">
        <f t="shared" si="3"/>
        <v>2.7073129284243103E-2</v>
      </c>
      <c r="K25" s="86">
        <f t="shared" si="3"/>
        <v>-1.1738120942533353E-2</v>
      </c>
      <c r="L25" s="33"/>
      <c r="M25" s="33"/>
      <c r="N25" s="33"/>
      <c r="O25" s="33"/>
    </row>
    <row r="26" spans="1:15" ht="51.75" customHeight="1" x14ac:dyDescent="0.25">
      <c r="A26" s="626" t="s">
        <v>371</v>
      </c>
      <c r="B26" s="627">
        <f>(16*yield*width*thk^2)/(15*cent_dist)</f>
        <v>17066.666666666668</v>
      </c>
      <c r="C26" s="81" t="str">
        <f>IF(B26&lt;B21, "OK", "NOT ENOUGH FORCE")</f>
        <v>OK</v>
      </c>
      <c r="D26" s="156" t="s">
        <v>330</v>
      </c>
      <c r="E26" s="84">
        <f t="shared" ref="E26:K26" si="4">IF(curv_at_yld&lt;ABS(E21),1-ABS(curv_at_yld/E21), "NONE")</f>
        <v>0.59089235615483049</v>
      </c>
      <c r="F26" s="83">
        <f t="shared" si="4"/>
        <v>0.66598454459600354</v>
      </c>
      <c r="G26" s="83">
        <f t="shared" si="4"/>
        <v>0.65023844759657534</v>
      </c>
      <c r="H26" s="83">
        <f t="shared" si="4"/>
        <v>0.6373648694808538</v>
      </c>
      <c r="I26" s="83">
        <f t="shared" si="4"/>
        <v>0.49301761558250023</v>
      </c>
      <c r="J26" s="83">
        <f t="shared" si="4"/>
        <v>0.19710663704894793</v>
      </c>
      <c r="K26" s="82" t="str">
        <f t="shared" si="4"/>
        <v>NONE</v>
      </c>
      <c r="L26" s="33"/>
      <c r="M26" s="33"/>
      <c r="N26" s="33"/>
      <c r="O26" s="33"/>
    </row>
    <row r="27" spans="1:15" ht="51.75" customHeight="1" thickBot="1" x14ac:dyDescent="0.3">
      <c r="A27" s="624" t="s">
        <v>1119</v>
      </c>
      <c r="B27" s="628" t="str">
        <f>IF(AND(E26&gt;=BackbendMin, E26&lt;=BackbendMax), IF(AND(E26 &lt;= BackbendConfirm, B28=FALSE), BackbendNCText, BackbendOKText), BackbendNOText)</f>
        <v>OK</v>
      </c>
      <c r="C27" s="71"/>
      <c r="D27" s="164" t="s">
        <v>328</v>
      </c>
      <c r="E27" s="75">
        <f t="shared" ref="E27:J27" si="5">1/((1/E19)+E25)</f>
        <v>55.148528052236102</v>
      </c>
      <c r="F27" s="74">
        <f t="shared" si="5"/>
        <v>-57.170823687581269</v>
      </c>
      <c r="G27" s="74">
        <f t="shared" si="5"/>
        <v>65.971098595169806</v>
      </c>
      <c r="H27" s="74">
        <f t="shared" si="5"/>
        <v>-65.515481967513921</v>
      </c>
      <c r="I27" s="74">
        <f t="shared" si="5"/>
        <v>-690.53637238330009</v>
      </c>
      <c r="J27" s="74">
        <f t="shared" si="5"/>
        <v>-332.54644007711153</v>
      </c>
      <c r="K27" s="165">
        <f>IF(ABS((1/K19)+K25)&lt;0.00001, "FLAT", 1/((1/K19)+K25))</f>
        <v>-332.54644007711153</v>
      </c>
      <c r="L27" s="33"/>
      <c r="M27" s="33"/>
      <c r="N27" s="33"/>
      <c r="O27" s="33"/>
    </row>
    <row r="28" spans="1:15" ht="45" customHeight="1" x14ac:dyDescent="0.25">
      <c r="A28" s="72"/>
      <c r="B28" s="689" t="b">
        <v>0</v>
      </c>
      <c r="C28" s="71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</row>
    <row r="29" spans="1:15" x14ac:dyDescent="0.25">
      <c r="A29" s="33"/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</row>
    <row r="31" spans="1:15" hidden="1" x14ac:dyDescent="0.25">
      <c r="A31" s="33"/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</row>
    <row r="32" spans="1:15" hidden="1" x14ac:dyDescent="0.25">
      <c r="A32" s="46"/>
      <c r="B32" s="46"/>
      <c r="C32" s="46" t="s">
        <v>169</v>
      </c>
      <c r="D32" s="37">
        <f>VLOOKUP($B$15,LookupStrModel,7,FALSE)</f>
        <v>0.18</v>
      </c>
      <c r="E32" s="68" t="s">
        <v>327</v>
      </c>
      <c r="F32" s="67">
        <v>0.33</v>
      </c>
      <c r="G32" s="33">
        <f>E19/H33</f>
        <v>1.129203330211916</v>
      </c>
      <c r="H32" s="33" t="s">
        <v>326</v>
      </c>
      <c r="I32" s="33" t="s">
        <v>293</v>
      </c>
      <c r="J32" s="33" t="s">
        <v>292</v>
      </c>
      <c r="K32" s="33" t="s">
        <v>291</v>
      </c>
      <c r="L32" s="33"/>
      <c r="M32" s="33"/>
      <c r="N32" s="33"/>
      <c r="O32" s="33"/>
    </row>
    <row r="33" spans="1:13" hidden="1" x14ac:dyDescent="0.25">
      <c r="A33" s="46"/>
      <c r="B33" s="46"/>
      <c r="C33" s="46" t="s">
        <v>166</v>
      </c>
      <c r="D33" s="37">
        <f>VLOOKUP($B$15,LookupStrModel,8,FALSE)</f>
        <v>0.18</v>
      </c>
      <c r="E33" s="33"/>
      <c r="F33" s="33"/>
      <c r="G33" s="33"/>
      <c r="H33" s="65">
        <f>rad_at_yld/2.49</f>
        <v>17.469879518072286</v>
      </c>
      <c r="I33" s="65">
        <f>H33-(SQRT(((H33+(thk/4))^2)-((cent_dist/4)^2)))</f>
        <v>6.9870974865406055E-2</v>
      </c>
      <c r="J33" s="65">
        <f>ABS(I33)*-2 * 1.07</f>
        <v>-0.14952388621196896</v>
      </c>
      <c r="K33" s="65">
        <f>10000+(L41*1000)</f>
        <v>9962.6321440776101</v>
      </c>
      <c r="L33" s="33">
        <f>10000+(B22*1000)</f>
        <v>8750</v>
      </c>
      <c r="M33" s="33">
        <f>IF(K33&gt;L33,K33,L33)</f>
        <v>9962.6321440776101</v>
      </c>
    </row>
    <row r="34" spans="1:13" hidden="1" x14ac:dyDescent="0.25">
      <c r="A34" s="46"/>
      <c r="B34" s="46"/>
      <c r="C34" s="33"/>
      <c r="D34" s="33"/>
      <c r="E34" s="33"/>
      <c r="F34" s="33"/>
      <c r="G34" s="33"/>
      <c r="H34" s="33"/>
      <c r="I34" s="65">
        <f>H33-(SQRT(((H33+(thk/4))*((H33+(thk/4)))-(((cent_dist/4)*(cent_dist/4))))))</f>
        <v>6.9870974865406055E-2</v>
      </c>
      <c r="J34" s="33"/>
      <c r="K34" s="33"/>
      <c r="L34" s="33"/>
      <c r="M34" s="33"/>
    </row>
    <row r="35" spans="1:13" hidden="1" x14ac:dyDescent="0.25">
      <c r="A35" s="46"/>
      <c r="B35" s="46"/>
      <c r="C35" s="33"/>
      <c r="D35" s="33"/>
      <c r="E35" s="33"/>
      <c r="F35" s="33"/>
      <c r="G35" s="33"/>
      <c r="H35" s="33"/>
      <c r="I35" s="65">
        <f>(SQRT(((H33+(thk/4))*((H33+(thk/4)))-(((cent_dist/4)*(cent_dist/4))))))</f>
        <v>17.40000854320688</v>
      </c>
      <c r="J35" s="65">
        <f>I35-H33</f>
        <v>-6.9870974865406055E-2</v>
      </c>
      <c r="K35" s="33"/>
      <c r="L35" s="33"/>
      <c r="M35" s="33"/>
    </row>
    <row r="36" spans="1:13" hidden="1" x14ac:dyDescent="0.25">
      <c r="A36" s="46"/>
      <c r="B36" s="46"/>
      <c r="C36" s="33"/>
      <c r="D36" s="33"/>
      <c r="E36" s="33"/>
      <c r="F36" s="33"/>
      <c r="G36" s="33"/>
      <c r="H36" s="33"/>
      <c r="I36" s="33">
        <v>4</v>
      </c>
      <c r="J36" s="33">
        <v>8</v>
      </c>
      <c r="K36" s="33">
        <v>2</v>
      </c>
      <c r="L36" s="33">
        <v>3</v>
      </c>
      <c r="M36" s="33"/>
    </row>
    <row r="37" spans="1:13" hidden="1" x14ac:dyDescent="0.25">
      <c r="A37" s="46"/>
      <c r="B37" s="46"/>
      <c r="C37" s="33"/>
      <c r="D37" s="33"/>
      <c r="E37" s="33"/>
      <c r="F37" s="33"/>
      <c r="G37" s="33"/>
      <c r="H37" s="33" t="s">
        <v>276</v>
      </c>
      <c r="I37" s="65">
        <f>SQRT(((I39)^2)-((I38)^2))</f>
        <v>17.324381385087364</v>
      </c>
      <c r="J37" s="65">
        <f>SQRT(((J39)^2)-((J38)^2))</f>
        <v>17.433618826163475</v>
      </c>
      <c r="K37" s="65">
        <f>SQRT(((K39)^2)-((K38)^2))</f>
        <v>16.880364047494993</v>
      </c>
      <c r="L37" s="65">
        <f>SQRT(((L39)^2)-((L38)^2))</f>
        <v>17.21036578274737</v>
      </c>
      <c r="M37" s="33"/>
    </row>
    <row r="38" spans="1:13" hidden="1" x14ac:dyDescent="0.25">
      <c r="A38" s="33"/>
      <c r="B38" s="46"/>
      <c r="C38" s="33"/>
      <c r="D38" s="33"/>
      <c r="E38" s="33"/>
      <c r="F38" s="33"/>
      <c r="G38" s="33"/>
      <c r="H38" s="33" t="s">
        <v>271</v>
      </c>
      <c r="I38" s="65">
        <f>cent_dist/4</f>
        <v>2.25</v>
      </c>
      <c r="J38" s="65">
        <f>cent_dist/8</f>
        <v>1.125</v>
      </c>
      <c r="K38" s="65">
        <f>cent_dist/2</f>
        <v>4.5</v>
      </c>
      <c r="L38" s="65">
        <f>cent_dist/3</f>
        <v>3</v>
      </c>
      <c r="M38" s="33"/>
    </row>
    <row r="39" spans="1:13" hidden="1" x14ac:dyDescent="0.25">
      <c r="A39" s="33"/>
      <c r="B39" s="46"/>
      <c r="C39" s="33"/>
      <c r="D39" s="33"/>
      <c r="E39" s="33"/>
      <c r="F39" s="33"/>
      <c r="G39" s="33"/>
      <c r="H39" s="33" t="s">
        <v>325</v>
      </c>
      <c r="I39" s="65">
        <f>H33</f>
        <v>17.469879518072286</v>
      </c>
      <c r="J39" s="65">
        <f>H33</f>
        <v>17.469879518072286</v>
      </c>
      <c r="K39" s="65">
        <f>H33</f>
        <v>17.469879518072286</v>
      </c>
      <c r="L39" s="65">
        <f>H33</f>
        <v>17.469879518072286</v>
      </c>
      <c r="M39" s="33"/>
    </row>
    <row r="40" spans="1:13" hidden="1" x14ac:dyDescent="0.25">
      <c r="A40" s="33"/>
      <c r="B40" s="46"/>
      <c r="C40" s="33"/>
      <c r="D40" s="33"/>
      <c r="E40" s="33"/>
      <c r="F40" s="33"/>
      <c r="G40" s="33"/>
      <c r="H40" s="33" t="s">
        <v>324</v>
      </c>
      <c r="I40" s="65">
        <f>(I39-I37) *2</f>
        <v>0.29099626596984507</v>
      </c>
      <c r="J40" s="65">
        <f>(J39-J37) *4</f>
        <v>0.14504276763524615</v>
      </c>
      <c r="K40" s="65">
        <f>(K39-K37) *1</f>
        <v>0.58951547057729314</v>
      </c>
      <c r="L40" s="65">
        <f>(L39-L37) *1.3</f>
        <v>0.33736785592239044</v>
      </c>
      <c r="M40" s="33"/>
    </row>
    <row r="41" spans="1:13" hidden="1" x14ac:dyDescent="0.25">
      <c r="A41" s="33"/>
      <c r="B41" s="46"/>
      <c r="C41" s="33"/>
      <c r="D41" s="33"/>
      <c r="E41" s="33"/>
      <c r="F41" s="33"/>
      <c r="G41" s="33"/>
      <c r="H41" s="33" t="s">
        <v>263</v>
      </c>
      <c r="I41" s="65">
        <f>thk-I40</f>
        <v>9.0037340301549196E-3</v>
      </c>
      <c r="J41" s="65">
        <f>thk-J40</f>
        <v>0.15495723236475384</v>
      </c>
      <c r="K41" s="65">
        <f>thk-K40</f>
        <v>-0.28951547057729315</v>
      </c>
      <c r="L41" s="65">
        <f>thk-L40</f>
        <v>-3.7367855922390447E-2</v>
      </c>
      <c r="M41" s="33"/>
    </row>
    <row r="42" spans="1:13" hidden="1" x14ac:dyDescent="0.25">
      <c r="A42" s="33"/>
      <c r="B42" s="46"/>
      <c r="C42" s="33"/>
      <c r="D42" s="33"/>
      <c r="E42" s="33"/>
      <c r="F42" s="33"/>
      <c r="G42" s="33"/>
      <c r="H42" s="66">
        <f>E19</f>
        <v>19.727046130208169</v>
      </c>
      <c r="I42" s="65">
        <f>H42-(SQRT(((H42+(thk/4))^2)-((cent_dist/4)^2)))</f>
        <v>5.3242966028339112E-2</v>
      </c>
      <c r="J42" s="65">
        <f>ABS(I42)*-2</f>
        <v>-0.10648593205667822</v>
      </c>
      <c r="K42" s="33"/>
      <c r="L42" s="33"/>
      <c r="M42" s="33"/>
    </row>
    <row r="43" spans="1:13" hidden="1" x14ac:dyDescent="0.25">
      <c r="A43" s="33"/>
      <c r="B43" s="46"/>
      <c r="C43" s="33"/>
      <c r="D43" s="33"/>
      <c r="E43" s="33"/>
      <c r="F43" s="33"/>
      <c r="G43" s="33"/>
      <c r="H43" s="33"/>
      <c r="I43" s="33"/>
      <c r="J43" s="65">
        <f>E18/J42</f>
        <v>0.35091824056627979</v>
      </c>
      <c r="K43" s="33"/>
      <c r="L43" s="33"/>
      <c r="M43" s="33"/>
    </row>
    <row r="44" spans="1:13" hidden="1" x14ac:dyDescent="0.25">
      <c r="A44" s="33"/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 t="s">
        <v>323</v>
      </c>
      <c r="M44" s="33"/>
    </row>
    <row r="45" spans="1:13" hidden="1" x14ac:dyDescent="0.25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 t="s">
        <v>322</v>
      </c>
      <c r="M45" s="33"/>
    </row>
    <row r="46" spans="1:13" hidden="1" x14ac:dyDescent="0.25">
      <c r="A46" s="33"/>
      <c r="B46" s="46"/>
      <c r="C46" s="33"/>
      <c r="D46" s="33"/>
      <c r="E46" s="33"/>
      <c r="F46" s="33"/>
      <c r="G46" s="33"/>
      <c r="H46" s="33"/>
      <c r="I46" s="33"/>
      <c r="J46" s="33"/>
      <c r="K46" s="33"/>
      <c r="L46" s="33" t="s">
        <v>321</v>
      </c>
      <c r="M46" s="33"/>
    </row>
    <row r="47" spans="1:13" hidden="1" x14ac:dyDescent="0.25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 t="s">
        <v>320</v>
      </c>
      <c r="M47" s="33"/>
    </row>
    <row r="48" spans="1:13" hidden="1" x14ac:dyDescent="0.25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 t="s">
        <v>319</v>
      </c>
      <c r="M48" s="33"/>
    </row>
    <row r="49" spans="1:7" hidden="1" x14ac:dyDescent="0.25">
      <c r="A49" s="33"/>
      <c r="B49" s="33"/>
      <c r="C49" s="33"/>
      <c r="D49" s="33"/>
      <c r="E49" s="33"/>
      <c r="F49" s="33"/>
      <c r="G49" s="33"/>
    </row>
    <row r="50" spans="1:7" x14ac:dyDescent="0.25">
      <c r="A50" s="33"/>
      <c r="B50" s="33"/>
      <c r="C50" s="33"/>
      <c r="D50" s="33"/>
      <c r="E50" s="33"/>
      <c r="F50" s="33"/>
      <c r="G50" s="33"/>
    </row>
    <row r="51" spans="1:7" x14ac:dyDescent="0.25">
      <c r="A51" s="33"/>
      <c r="B51" s="33"/>
      <c r="C51" s="33"/>
      <c r="D51" s="33"/>
      <c r="E51" s="33"/>
      <c r="F51" s="33"/>
      <c r="G51" s="33"/>
    </row>
    <row r="52" spans="1:7" x14ac:dyDescent="0.25">
      <c r="A52" s="33"/>
      <c r="B52" s="33"/>
      <c r="C52" s="33"/>
      <c r="D52" s="33"/>
      <c r="E52" s="33"/>
      <c r="F52" s="33"/>
      <c r="G52" s="33"/>
    </row>
    <row r="53" spans="1:7" x14ac:dyDescent="0.25">
      <c r="A53" s="33"/>
      <c r="B53" s="33"/>
      <c r="C53" s="33"/>
      <c r="D53" s="33"/>
      <c r="E53" s="33"/>
      <c r="F53" s="33"/>
      <c r="G53" s="33"/>
    </row>
    <row r="54" spans="1:7" x14ac:dyDescent="0.25">
      <c r="A54" s="33"/>
      <c r="B54" s="33"/>
      <c r="C54" s="33"/>
      <c r="D54" s="33"/>
      <c r="E54" s="33"/>
      <c r="F54" s="33"/>
      <c r="G54" s="33"/>
    </row>
    <row r="55" spans="1:7" x14ac:dyDescent="0.25">
      <c r="A55" s="33"/>
      <c r="B55" s="33"/>
      <c r="C55" s="33"/>
      <c r="D55" s="33"/>
      <c r="E55" s="33"/>
      <c r="F55" s="33"/>
      <c r="G55" s="33"/>
    </row>
    <row r="56" spans="1:7" x14ac:dyDescent="0.25">
      <c r="A56" s="33"/>
      <c r="B56" s="33"/>
      <c r="C56" s="33"/>
      <c r="D56" s="33"/>
      <c r="E56" s="33"/>
      <c r="F56" s="33"/>
      <c r="G56" s="33"/>
    </row>
    <row r="57" spans="1:7" x14ac:dyDescent="0.25">
      <c r="A57" s="35"/>
      <c r="B57" s="36"/>
      <c r="C57" s="36"/>
      <c r="D57" s="33"/>
      <c r="E57" s="36"/>
      <c r="F57" s="36"/>
      <c r="G57" s="33"/>
    </row>
    <row r="58" spans="1:7" x14ac:dyDescent="0.25">
      <c r="A58" s="35"/>
      <c r="B58" s="36"/>
      <c r="C58" s="36"/>
      <c r="D58" s="33"/>
      <c r="E58" s="36"/>
      <c r="F58" s="36"/>
      <c r="G58" s="36"/>
    </row>
    <row r="59" spans="1:7" x14ac:dyDescent="0.25">
      <c r="A59" s="35"/>
      <c r="B59" s="36"/>
      <c r="C59" s="36"/>
      <c r="D59" s="33"/>
      <c r="E59" s="36"/>
      <c r="F59" s="36"/>
      <c r="G59" s="36"/>
    </row>
    <row r="60" spans="1:7" x14ac:dyDescent="0.25">
      <c r="A60" s="35"/>
      <c r="B60" s="36"/>
      <c r="C60" s="36"/>
      <c r="D60" s="33"/>
      <c r="E60" s="36"/>
      <c r="F60" s="36"/>
      <c r="G60" s="36"/>
    </row>
    <row r="61" spans="1:7" x14ac:dyDescent="0.25">
      <c r="A61" s="35"/>
      <c r="B61" s="36"/>
      <c r="C61" s="36"/>
      <c r="D61" s="33"/>
      <c r="E61" s="36"/>
      <c r="F61" s="36"/>
      <c r="G61" s="36"/>
    </row>
    <row r="62" spans="1:7" x14ac:dyDescent="0.25">
      <c r="A62" s="35"/>
      <c r="B62" s="36"/>
      <c r="C62" s="36"/>
      <c r="D62" s="33"/>
      <c r="E62" s="36"/>
      <c r="F62" s="36"/>
      <c r="G62" s="36"/>
    </row>
    <row r="63" spans="1:7" x14ac:dyDescent="0.25">
      <c r="A63" s="35"/>
      <c r="B63" s="36"/>
      <c r="C63" s="36"/>
      <c r="D63" s="33"/>
      <c r="E63" s="36"/>
      <c r="F63" s="36"/>
      <c r="G63" s="36"/>
    </row>
    <row r="64" spans="1:7" x14ac:dyDescent="0.25">
      <c r="A64" s="35"/>
      <c r="B64" s="36"/>
      <c r="C64" s="36"/>
      <c r="D64" s="33"/>
      <c r="E64" s="36"/>
      <c r="F64" s="33"/>
      <c r="G64" s="33"/>
    </row>
    <row r="65" spans="1:7" x14ac:dyDescent="0.25">
      <c r="A65" s="35"/>
      <c r="B65" s="36"/>
      <c r="C65" s="36"/>
      <c r="D65" s="33"/>
      <c r="E65" s="36"/>
      <c r="F65" s="36"/>
      <c r="G65" s="36"/>
    </row>
    <row r="66" spans="1:7" x14ac:dyDescent="0.25">
      <c r="A66" s="33"/>
      <c r="B66" s="33"/>
      <c r="C66" s="33"/>
      <c r="D66" s="33"/>
      <c r="E66" s="33"/>
      <c r="F66" s="33"/>
      <c r="G66" s="33"/>
    </row>
    <row r="67" spans="1:7" x14ac:dyDescent="0.25">
      <c r="A67" s="33"/>
      <c r="B67" s="33"/>
      <c r="C67" s="33"/>
      <c r="D67" s="33"/>
      <c r="E67" s="33"/>
      <c r="F67" s="33"/>
      <c r="G67" s="33"/>
    </row>
    <row r="68" spans="1:7" x14ac:dyDescent="0.25">
      <c r="A68" s="33"/>
      <c r="B68" s="33"/>
      <c r="C68" s="33"/>
      <c r="D68" s="33"/>
      <c r="E68" s="33"/>
      <c r="F68" s="33"/>
      <c r="G68" s="33"/>
    </row>
    <row r="69" spans="1:7" x14ac:dyDescent="0.25">
      <c r="A69" s="33"/>
      <c r="B69" s="33"/>
      <c r="C69" s="33"/>
      <c r="D69" s="33"/>
      <c r="E69" s="33"/>
      <c r="F69" s="33"/>
      <c r="G69" s="33"/>
    </row>
    <row r="70" spans="1:7" x14ac:dyDescent="0.25">
      <c r="A70" s="33"/>
      <c r="B70" s="33"/>
      <c r="C70" s="33"/>
      <c r="D70" s="33"/>
      <c r="E70" s="33"/>
      <c r="F70" s="33"/>
      <c r="G70" s="33"/>
    </row>
    <row r="71" spans="1:7" x14ac:dyDescent="0.25">
      <c r="A71" s="33"/>
      <c r="B71" s="33"/>
      <c r="C71" s="33"/>
      <c r="D71" s="33"/>
      <c r="E71" s="33"/>
      <c r="F71" s="33"/>
      <c r="G71" s="33"/>
    </row>
    <row r="72" spans="1:7" x14ac:dyDescent="0.25">
      <c r="A72" s="33"/>
      <c r="B72" s="33"/>
      <c r="C72" s="33"/>
      <c r="D72" s="33"/>
      <c r="E72" s="33"/>
      <c r="F72" s="33"/>
      <c r="G72" s="33"/>
    </row>
    <row r="73" spans="1:7" x14ac:dyDescent="0.25">
      <c r="A73" s="33"/>
      <c r="B73" s="33"/>
      <c r="C73" s="33"/>
      <c r="D73" s="33"/>
      <c r="E73" s="33"/>
      <c r="F73" s="33"/>
      <c r="G73" s="33"/>
    </row>
    <row r="74" spans="1:7" x14ac:dyDescent="0.25">
      <c r="A74" s="33"/>
      <c r="B74" s="33"/>
      <c r="C74" s="33"/>
      <c r="D74" s="33"/>
      <c r="E74" s="33"/>
      <c r="F74" s="33"/>
      <c r="G74" s="33"/>
    </row>
    <row r="75" spans="1:7" x14ac:dyDescent="0.25">
      <c r="A75" s="33"/>
      <c r="B75" s="33"/>
      <c r="C75" s="33"/>
      <c r="D75" s="33"/>
      <c r="E75" s="33"/>
      <c r="F75" s="33"/>
      <c r="G75" s="33"/>
    </row>
    <row r="76" spans="1:7" x14ac:dyDescent="0.25">
      <c r="A76" s="33"/>
      <c r="B76" s="33"/>
      <c r="C76" s="33"/>
      <c r="D76" s="33"/>
      <c r="E76" s="33"/>
      <c r="F76" s="33"/>
      <c r="G76" s="33"/>
    </row>
    <row r="77" spans="1:7" x14ac:dyDescent="0.25">
      <c r="A77" s="33"/>
      <c r="B77" s="33"/>
      <c r="C77" s="33"/>
      <c r="D77" s="33"/>
      <c r="E77" s="33"/>
      <c r="F77" s="33"/>
      <c r="G77" s="33"/>
    </row>
    <row r="78" spans="1:7" x14ac:dyDescent="0.25">
      <c r="A78" s="33"/>
      <c r="B78" s="33"/>
      <c r="C78" s="33"/>
      <c r="D78" s="33"/>
      <c r="E78" s="33"/>
      <c r="F78" s="33"/>
      <c r="G78" s="33"/>
    </row>
    <row r="79" spans="1:7" x14ac:dyDescent="0.25">
      <c r="A79" s="33"/>
      <c r="B79" s="33"/>
      <c r="C79" s="33"/>
      <c r="D79" s="33"/>
      <c r="E79" s="33"/>
      <c r="F79" s="33"/>
      <c r="G79" s="33"/>
    </row>
    <row r="80" spans="1:7" x14ac:dyDescent="0.25">
      <c r="A80" s="35"/>
      <c r="B80" s="36"/>
      <c r="C80" s="36"/>
      <c r="D80" s="33"/>
      <c r="E80" s="36"/>
      <c r="F80" s="36"/>
      <c r="G80" s="36"/>
    </row>
    <row r="81" spans="1:7" x14ac:dyDescent="0.25">
      <c r="A81" s="35"/>
      <c r="B81" s="36"/>
      <c r="C81" s="36"/>
      <c r="D81" s="33"/>
      <c r="E81" s="36"/>
      <c r="F81" s="36"/>
      <c r="G81" s="36"/>
    </row>
    <row r="82" spans="1:7" x14ac:dyDescent="0.25">
      <c r="A82" s="35"/>
      <c r="B82" s="36"/>
      <c r="C82" s="36"/>
      <c r="D82" s="33"/>
      <c r="E82" s="36"/>
      <c r="F82" s="36"/>
      <c r="G82" s="36"/>
    </row>
    <row r="83" spans="1:7" x14ac:dyDescent="0.25">
      <c r="A83" s="35"/>
      <c r="B83" s="36"/>
      <c r="C83" s="36"/>
      <c r="D83" s="33"/>
      <c r="E83" s="36"/>
      <c r="F83" s="36"/>
      <c r="G83" s="36"/>
    </row>
    <row r="84" spans="1:7" x14ac:dyDescent="0.25">
      <c r="A84" s="35"/>
      <c r="B84" s="36"/>
      <c r="C84" s="36"/>
      <c r="D84" s="33"/>
      <c r="E84" s="36"/>
      <c r="F84" s="36"/>
      <c r="G84" s="36"/>
    </row>
    <row r="85" spans="1:7" x14ac:dyDescent="0.25">
      <c r="A85" s="35"/>
      <c r="B85" s="36"/>
      <c r="C85" s="36"/>
      <c r="D85" s="33"/>
      <c r="E85" s="36"/>
      <c r="F85" s="36"/>
      <c r="G85" s="36"/>
    </row>
    <row r="86" spans="1:7" x14ac:dyDescent="0.25">
      <c r="A86" s="33"/>
      <c r="B86" s="33"/>
      <c r="C86" s="33"/>
      <c r="D86" s="33"/>
      <c r="E86" s="33"/>
      <c r="F86" s="33"/>
      <c r="G86" s="33"/>
    </row>
    <row r="87" spans="1:7" x14ac:dyDescent="0.25">
      <c r="A87" s="33"/>
      <c r="B87" s="33"/>
      <c r="C87" s="33"/>
      <c r="D87" s="33"/>
      <c r="E87" s="33"/>
      <c r="F87" s="33"/>
      <c r="G87" s="33"/>
    </row>
  </sheetData>
  <sheetProtection algorithmName="SHA-512" hashValue="RFv85CkGBk7RKDQh2gdARhsDUw+27KKNKXr+yhsoFSGIg+bNARDXqRsk8mTOtHn1Nwawue7BCNFGSgwUq7tUFw==" saltValue="T/d4OnrV8/Pf4fl5y+ifvQ==" spinCount="100000" sheet="1" objects="1" scenarios="1"/>
  <mergeCells count="3">
    <mergeCell ref="B4:F4"/>
    <mergeCell ref="B5:F5"/>
    <mergeCell ref="B6:F6"/>
  </mergeCells>
  <conditionalFormatting sqref="E18 K18 G18:I18">
    <cfRule type="cellIs" dxfId="110" priority="7" stopIfTrue="1" operator="notBetween">
      <formula>$B$23</formula>
      <formula>1.25*thk</formula>
    </cfRule>
  </conditionalFormatting>
  <conditionalFormatting sqref="E24 K24 G24 I24">
    <cfRule type="cellIs" dxfId="109" priority="8" stopIfTrue="1" operator="greaterThan">
      <formula>$B$21</formula>
    </cfRule>
  </conditionalFormatting>
  <conditionalFormatting sqref="E14 K14 G14:I14">
    <cfRule type="cellIs" dxfId="108" priority="9" stopIfTrue="1" operator="equal">
      <formula>"ROLLER TOO HIGH!"</formula>
    </cfRule>
  </conditionalFormatting>
  <conditionalFormatting sqref="L24">
    <cfRule type="cellIs" dxfId="107" priority="10" stopIfTrue="1" operator="equal">
      <formula>"NOT ENOUGH FORCE!"</formula>
    </cfRule>
  </conditionalFormatting>
  <conditionalFormatting sqref="C25">
    <cfRule type="cellIs" dxfId="106" priority="11" stopIfTrue="1" operator="equal">
      <formula>"WILL NOT STRAIGHTEN"</formula>
    </cfRule>
    <cfRule type="cellIs" dxfId="105" priority="12" stopIfTrue="1" operator="equal">
      <formula>"OK"</formula>
    </cfRule>
  </conditionalFormatting>
  <conditionalFormatting sqref="C26">
    <cfRule type="cellIs" dxfId="104" priority="13" stopIfTrue="1" operator="equal">
      <formula>"NOT ENOUGH FORCE"</formula>
    </cfRule>
    <cfRule type="cellIs" dxfId="103" priority="14" stopIfTrue="1" operator="equal">
      <formula>"OK"</formula>
    </cfRule>
  </conditionalFormatting>
  <conditionalFormatting sqref="E26">
    <cfRule type="cellIs" dxfId="102" priority="1" operator="between">
      <formula>47%</formula>
      <formula>70%</formula>
    </cfRule>
    <cfRule type="cellIs" dxfId="101" priority="2" operator="greaterThan">
      <formula>70%</formula>
    </cfRule>
    <cfRule type="cellIs" dxfId="100" priority="3" operator="lessThan">
      <formula>47%</formula>
    </cfRule>
  </conditionalFormatting>
  <dataValidations disablePrompts="1" count="1">
    <dataValidation errorTitle="Roller Depth too great" error="You have engaged the rollers too far." sqref="K18 E18 G18:I18" xr:uid="{0DD8A81F-0234-4CEB-814B-2559FD846AA9}"/>
  </dataValidations>
  <pageMargins left="0.75" right="0.75" top="1" bottom="1" header="0.5" footer="0.5"/>
  <pageSetup scale="68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8436" r:id="rId4" name="CommandButton1">
          <controlPr defaultSize="0" autoLine="0" autoPict="0" r:id="rId5">
            <anchor moveWithCells="1">
              <from>
                <xdr:col>3</xdr:col>
                <xdr:colOff>19050</xdr:colOff>
                <xdr:row>14</xdr:row>
                <xdr:rowOff>9525</xdr:rowOff>
              </from>
              <to>
                <xdr:col>3</xdr:col>
                <xdr:colOff>1000125</xdr:colOff>
                <xdr:row>15</xdr:row>
                <xdr:rowOff>180975</xdr:rowOff>
              </to>
            </anchor>
          </controlPr>
        </control>
      </mc:Choice>
      <mc:Fallback>
        <control shapeId="18436" r:id="rId4" name="CommandButton1"/>
      </mc:Fallback>
    </mc:AlternateContent>
    <mc:AlternateContent xmlns:mc="http://schemas.openxmlformats.org/markup-compatibility/2006">
      <mc:Choice Requires="x14">
        <control shapeId="18433" r:id="rId6" name="Spinner 1">
          <controlPr defaultSize="0" autoPict="0">
            <anchor moveWithCells="1" sizeWithCells="1">
              <from>
                <xdr:col>4</xdr:col>
                <xdr:colOff>0</xdr:colOff>
                <xdr:row>13</xdr:row>
                <xdr:rowOff>219075</xdr:rowOff>
              </from>
              <to>
                <xdr:col>4</xdr:col>
                <xdr:colOff>971550</xdr:colOff>
                <xdr:row>15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43" r:id="rId7" name="Button 11">
          <controlPr defaultSize="0" print="0" autoFill="0" autoPict="0" macro="[0]!Tbl_Contents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142875</xdr:colOff>
                <xdr:row>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45" r:id="rId8" name="Check Box 13">
          <controlPr defaultSize="0" autoFill="0" autoLine="0" autoPict="0" altText="Confirmed">
            <anchor moveWithCells="1">
              <from>
                <xdr:col>1</xdr:col>
                <xdr:colOff>104775</xdr:colOff>
                <xdr:row>27</xdr:row>
                <xdr:rowOff>152400</xdr:rowOff>
              </from>
              <to>
                <xdr:col>1</xdr:col>
                <xdr:colOff>847725</xdr:colOff>
                <xdr:row>27</xdr:row>
                <xdr:rowOff>466725</xdr:rowOff>
              </to>
            </anchor>
          </controlPr>
        </control>
      </mc:Choice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0BFF77-7408-4AB3-821D-D8EA24F42914}">
  <sheetPr codeName="Sheet49">
    <tabColor rgb="FFFFFF00"/>
    <pageSetUpPr fitToPage="1"/>
  </sheetPr>
  <dimension ref="A1:O87"/>
  <sheetViews>
    <sheetView zoomScale="85" workbookViewId="0">
      <selection activeCell="B28" sqref="B28"/>
    </sheetView>
  </sheetViews>
  <sheetFormatPr defaultRowHeight="15" x14ac:dyDescent="0.25"/>
  <cols>
    <col min="1" max="1" width="21.5703125" customWidth="1"/>
    <col min="2" max="2" width="15.5703125" customWidth="1"/>
    <col min="3" max="4" width="15.140625" customWidth="1"/>
    <col min="5" max="5" width="14.7109375" customWidth="1"/>
    <col min="6" max="6" width="13" customWidth="1"/>
    <col min="7" max="9" width="14.140625" customWidth="1"/>
    <col min="10" max="10" width="12.42578125" customWidth="1"/>
    <col min="11" max="11" width="14.140625" customWidth="1"/>
    <col min="12" max="12" width="12.7109375" customWidth="1"/>
  </cols>
  <sheetData>
    <row r="1" spans="1:11" ht="18.75" x14ac:dyDescent="0.3">
      <c r="A1" s="33"/>
      <c r="B1" s="42"/>
      <c r="C1" s="33"/>
      <c r="D1" s="33"/>
      <c r="E1" s="145" t="s">
        <v>0</v>
      </c>
      <c r="F1" s="33"/>
      <c r="G1" s="33"/>
      <c r="H1" s="33"/>
      <c r="I1" s="33"/>
      <c r="J1" s="33"/>
      <c r="K1" s="33"/>
    </row>
    <row r="2" spans="1:11" x14ac:dyDescent="0.25">
      <c r="A2" s="33"/>
      <c r="B2" s="42"/>
      <c r="C2" s="33"/>
      <c r="D2" s="33"/>
      <c r="E2" s="144" t="s">
        <v>368</v>
      </c>
      <c r="F2" s="33"/>
      <c r="G2" s="33"/>
      <c r="H2" s="33"/>
      <c r="I2" s="33"/>
      <c r="J2" s="33"/>
      <c r="K2" s="33"/>
    </row>
    <row r="3" spans="1:11" x14ac:dyDescent="0.25">
      <c r="A3" s="33"/>
      <c r="B3" s="33"/>
      <c r="C3" s="33"/>
      <c r="D3" s="33"/>
      <c r="E3" s="144"/>
      <c r="F3" s="33"/>
      <c r="G3" s="33"/>
      <c r="H3" s="33"/>
      <c r="I3" s="33"/>
      <c r="J3" s="33"/>
      <c r="K3" s="33"/>
    </row>
    <row r="4" spans="1:11" x14ac:dyDescent="0.25">
      <c r="A4" s="143" t="s">
        <v>1</v>
      </c>
      <c r="B4" s="997" t="str">
        <f>Customer</f>
        <v>ULTRATECH TOOL&amp; DESIGN, INC.</v>
      </c>
      <c r="C4" s="997"/>
      <c r="D4" s="997"/>
      <c r="E4" s="997"/>
      <c r="F4" s="997"/>
      <c r="G4" s="33"/>
      <c r="H4" s="33"/>
      <c r="I4" s="33"/>
      <c r="J4" s="33"/>
      <c r="K4" s="33"/>
    </row>
    <row r="5" spans="1:11" x14ac:dyDescent="0.25">
      <c r="A5" s="143" t="s">
        <v>2</v>
      </c>
      <c r="B5" s="998">
        <f>CalcDate</f>
        <v>0</v>
      </c>
      <c r="C5" s="997"/>
      <c r="D5" s="997"/>
      <c r="E5" s="997"/>
      <c r="F5" s="997"/>
      <c r="G5" s="33"/>
      <c r="H5" s="33"/>
      <c r="I5" s="33"/>
      <c r="J5" s="33"/>
      <c r="K5" s="33"/>
    </row>
    <row r="6" spans="1:11" x14ac:dyDescent="0.25">
      <c r="A6" s="143" t="s">
        <v>3</v>
      </c>
      <c r="B6" s="997">
        <f>Reference</f>
        <v>0</v>
      </c>
      <c r="C6" s="997"/>
      <c r="D6" s="997"/>
      <c r="E6" s="997"/>
      <c r="F6" s="997"/>
      <c r="G6" s="33"/>
      <c r="H6" s="33"/>
      <c r="I6" s="33"/>
      <c r="J6" s="33"/>
      <c r="K6" s="33"/>
    </row>
    <row r="8" spans="1:11" ht="16.5" customHeight="1" x14ac:dyDescent="0.25">
      <c r="A8" s="146"/>
      <c r="B8" s="147"/>
      <c r="C8" s="148"/>
      <c r="D8" s="123" t="s">
        <v>366</v>
      </c>
      <c r="E8" s="132">
        <v>-60</v>
      </c>
      <c r="F8" s="33" t="s">
        <v>365</v>
      </c>
      <c r="G8" s="33"/>
      <c r="H8" s="33"/>
      <c r="I8" s="33"/>
      <c r="J8" s="33"/>
      <c r="K8" s="33"/>
    </row>
    <row r="9" spans="1:11" x14ac:dyDescent="0.25">
      <c r="A9" s="149"/>
      <c r="B9" s="150"/>
      <c r="C9" s="148"/>
      <c r="D9" s="123" t="s">
        <v>364</v>
      </c>
      <c r="E9" s="132">
        <f>IF(ABS(1/$E$8)&gt;curv_at_yld, 1/((1/$E$8)-((ABS($E$8)/$E$8)*(1.5*(1-$F$32))*curv_at_yld*(1-((1/3)*(curv_at_yld/(1/$E$8))^2)))), IF($F$32=0, ABS($E$8)/$E$8*99999, $E$8/$F$32))</f>
        <v>-181.81818181818181</v>
      </c>
      <c r="F9" s="33" t="s">
        <v>363</v>
      </c>
      <c r="G9" s="33"/>
      <c r="H9" s="33"/>
      <c r="I9" s="33"/>
      <c r="J9" s="33"/>
      <c r="K9" s="33"/>
    </row>
    <row r="10" spans="1:11" ht="15.75" thickBot="1" x14ac:dyDescent="0.3">
      <c r="A10" s="33"/>
      <c r="B10" s="33"/>
      <c r="C10" s="33"/>
      <c r="D10" s="123" t="s">
        <v>362</v>
      </c>
      <c r="E10" s="138">
        <f>1/$E$9</f>
        <v>-5.5000000000000005E-3</v>
      </c>
      <c r="F10" s="33"/>
      <c r="G10" s="33"/>
      <c r="H10" s="33"/>
      <c r="I10" s="33"/>
      <c r="J10" s="33"/>
      <c r="K10" s="33"/>
    </row>
    <row r="11" spans="1:11" x14ac:dyDescent="0.25">
      <c r="A11" s="140" t="s">
        <v>361</v>
      </c>
      <c r="B11" s="139">
        <f>CoilWidth_3</f>
        <v>30</v>
      </c>
      <c r="C11" s="33" t="s">
        <v>336</v>
      </c>
      <c r="D11" s="123" t="s">
        <v>360</v>
      </c>
      <c r="E11" s="138">
        <f>2*yield/(thk*modulus)</f>
        <v>9.852216748768472E-2</v>
      </c>
      <c r="F11" s="33"/>
      <c r="G11" s="33"/>
      <c r="H11" s="33"/>
      <c r="I11" s="33"/>
      <c r="J11" s="33"/>
      <c r="K11" s="33"/>
    </row>
    <row r="12" spans="1:11" x14ac:dyDescent="0.25">
      <c r="A12" s="135" t="s">
        <v>359</v>
      </c>
      <c r="B12" s="137">
        <f>Thickness_3</f>
        <v>3.5000000000000003E-2</v>
      </c>
      <c r="C12" s="36" t="s">
        <v>336</v>
      </c>
      <c r="D12" s="136" t="s">
        <v>358</v>
      </c>
      <c r="E12" s="132">
        <f>1/curv_at_yld</f>
        <v>10.15</v>
      </c>
      <c r="F12" s="33" t="s">
        <v>357</v>
      </c>
      <c r="G12" s="33"/>
      <c r="H12" s="33"/>
      <c r="I12" s="33"/>
      <c r="J12" s="33"/>
      <c r="K12" s="33"/>
    </row>
    <row r="13" spans="1:11" x14ac:dyDescent="0.25">
      <c r="A13" s="135" t="s">
        <v>356</v>
      </c>
      <c r="B13" s="437">
        <f>YieldStrength_3</f>
        <v>50000</v>
      </c>
      <c r="C13" s="130" t="s">
        <v>11</v>
      </c>
      <c r="D13" s="133" t="s">
        <v>355</v>
      </c>
      <c r="E13" s="132">
        <f>width*yield*(thk^2)/6</f>
        <v>306.25000000000006</v>
      </c>
      <c r="F13" s="33" t="s">
        <v>354</v>
      </c>
      <c r="G13" s="33"/>
      <c r="H13" s="33"/>
      <c r="I13" s="33"/>
      <c r="J13" s="33"/>
      <c r="K13" s="33"/>
    </row>
    <row r="14" spans="1:11" ht="17.25" customHeight="1" x14ac:dyDescent="0.25">
      <c r="A14" s="131" t="s">
        <v>353</v>
      </c>
      <c r="B14" s="441" t="str">
        <f>Material_3</f>
        <v>Cold Rolled Steel</v>
      </c>
      <c r="C14" s="130"/>
      <c r="D14" s="130"/>
      <c r="E14" s="129" t="str">
        <f>IF(E21&gt;0,"", "ROLLER TOO HIGH!")</f>
        <v/>
      </c>
      <c r="F14" s="33"/>
      <c r="G14" s="129" t="str">
        <f>IF(G21&gt;0,"", "ROLLER TOO HIGH!")</f>
        <v/>
      </c>
      <c r="H14" s="129"/>
      <c r="I14" s="129" t="str">
        <f>IF(I21&gt;0,"", "ROLLER TOO HIGH!")</f>
        <v/>
      </c>
      <c r="J14" s="33"/>
      <c r="K14" s="129" t="str">
        <f>IF(K21&gt;0,"", "ROLLER TOO HIGH!")</f>
        <v/>
      </c>
    </row>
    <row r="15" spans="1:11" ht="17.25" customHeight="1" thickBot="1" x14ac:dyDescent="0.3">
      <c r="A15" s="151" t="s">
        <v>965</v>
      </c>
      <c r="B15" s="441" t="str">
        <f>'Str. Utility (3)'!model</f>
        <v>CPPS-507</v>
      </c>
      <c r="C15" s="36"/>
      <c r="D15" s="33"/>
      <c r="E15" s="33"/>
      <c r="F15" s="33"/>
      <c r="G15" s="33"/>
      <c r="H15" s="33"/>
      <c r="I15" s="33"/>
      <c r="J15" s="33"/>
      <c r="K15" s="33"/>
    </row>
    <row r="16" spans="1:11" ht="15" customHeight="1" thickBot="1" x14ac:dyDescent="0.3">
      <c r="A16" s="68"/>
      <c r="B16" s="33"/>
      <c r="C16" s="36"/>
      <c r="D16" s="33"/>
      <c r="E16" s="152">
        <v>8750</v>
      </c>
      <c r="F16" s="33"/>
      <c r="G16" s="46"/>
      <c r="H16" s="46"/>
      <c r="I16" s="46"/>
      <c r="J16" s="33"/>
      <c r="K16" s="46"/>
    </row>
    <row r="17" spans="1:15" ht="15.75" thickBot="1" x14ac:dyDescent="0.3">
      <c r="A17" s="123"/>
      <c r="B17" s="33"/>
      <c r="C17" s="33"/>
      <c r="D17" s="122"/>
      <c r="E17" s="121" t="s">
        <v>351</v>
      </c>
      <c r="F17" s="119"/>
      <c r="G17" s="120" t="s">
        <v>350</v>
      </c>
      <c r="H17" s="120"/>
      <c r="I17" s="120" t="s">
        <v>350</v>
      </c>
      <c r="J17" s="119"/>
      <c r="K17" s="118" t="s">
        <v>349</v>
      </c>
      <c r="L17" s="33"/>
      <c r="M17" s="33"/>
      <c r="N17" s="33"/>
      <c r="O17" s="65"/>
    </row>
    <row r="18" spans="1:15" ht="21.75" customHeight="1" x14ac:dyDescent="0.25">
      <c r="A18" s="153" t="s">
        <v>348</v>
      </c>
      <c r="B18" s="116">
        <f>VLOOKUP($B$15,LookupStrModel,2,FALSE)</f>
        <v>5</v>
      </c>
      <c r="C18" s="71" t="s">
        <v>336</v>
      </c>
      <c r="D18" s="154" t="s">
        <v>370</v>
      </c>
      <c r="E18" s="114">
        <f>IF((E16-10000)/1000&lt;$B23, "TOO DEEP!", (E16-10000)/1000)</f>
        <v>-1.25</v>
      </c>
      <c r="F18" s="112"/>
      <c r="G18" s="113">
        <f>E18+((K18-E18)/3)</f>
        <v>-0.82400000000000007</v>
      </c>
      <c r="H18" s="155"/>
      <c r="I18" s="113">
        <f>G18+((K18-E18)/3)</f>
        <v>-0.39800000000000008</v>
      </c>
      <c r="J18" s="112"/>
      <c r="K18" s="111">
        <f>thk*0.8</f>
        <v>2.8000000000000004E-2</v>
      </c>
      <c r="L18" s="33"/>
      <c r="M18" s="33"/>
      <c r="N18" s="33"/>
      <c r="O18" s="33"/>
    </row>
    <row r="19" spans="1:15" ht="25.5" x14ac:dyDescent="0.25">
      <c r="A19" s="131" t="s">
        <v>346</v>
      </c>
      <c r="B19" s="98">
        <f>VLOOKUP($B$15,LookupStrModel,3,FALSE)</f>
        <v>9</v>
      </c>
      <c r="C19" s="71" t="s">
        <v>336</v>
      </c>
      <c r="D19" s="156" t="s">
        <v>345</v>
      </c>
      <c r="E19" s="109">
        <f>(1.314-$D$31*thk+$D$32*E18)*((-0.25*cent_dist^2)-(E18^2)+(2*E18*thk)-thk^2)/(4*(E18+0.00000001)-4*thk)</f>
        <v>4.6401622977833643</v>
      </c>
      <c r="F19" s="93">
        <f>-E19</f>
        <v>-4.6401622977833643</v>
      </c>
      <c r="G19" s="93">
        <f>((-0.25*cent_dist^2)-(G$18^2)+(2*G$18*thk)-thk^2)/(4*(G$18+0.00000001)-4*thk)</f>
        <v>6.1082308627267858</v>
      </c>
      <c r="H19" s="93">
        <f>-G19</f>
        <v>-6.1082308627267858</v>
      </c>
      <c r="I19" s="93">
        <f>((-0.25*cent_dist^2)-(I$18^2)+(2*I$18*thk)-thk^2)/(4*(I$18+0.00000001)-4*thk)</f>
        <v>11.79993618475603</v>
      </c>
      <c r="J19" s="93">
        <f>-I19</f>
        <v>-11.79993618475603</v>
      </c>
      <c r="K19" s="108">
        <f>(1.314-$D$31*thk+$D$32*K18)*((-0.25*cent_dist^2)-(K18^2)+(2*K18*thk)-thk^2)/(4*(K18+0.00000001)-4*thk)</f>
        <v>953.95224253748972</v>
      </c>
      <c r="L19" s="33"/>
      <c r="M19" s="33"/>
      <c r="N19" s="33"/>
      <c r="O19" s="33"/>
    </row>
    <row r="20" spans="1:15" ht="25.5" x14ac:dyDescent="0.25">
      <c r="A20" s="131" t="s">
        <v>344</v>
      </c>
      <c r="B20" s="107">
        <f>VLOOKUP($B$14,LookupMaterial,3,FALSE)</f>
        <v>29000000</v>
      </c>
      <c r="C20" s="71" t="s">
        <v>11</v>
      </c>
      <c r="D20" s="157" t="s">
        <v>343</v>
      </c>
      <c r="E20" s="105" t="s">
        <v>277</v>
      </c>
      <c r="F20" s="104" t="s">
        <v>278</v>
      </c>
      <c r="G20" s="104" t="s">
        <v>277</v>
      </c>
      <c r="H20" s="104" t="s">
        <v>278</v>
      </c>
      <c r="I20" s="104" t="s">
        <v>277</v>
      </c>
      <c r="J20" s="104" t="s">
        <v>278</v>
      </c>
      <c r="K20" s="103" t="s">
        <v>277</v>
      </c>
      <c r="L20" s="33"/>
      <c r="M20" s="33"/>
      <c r="N20" s="33"/>
      <c r="O20" s="33"/>
    </row>
    <row r="21" spans="1:15" ht="27.75" customHeight="1" x14ac:dyDescent="0.25">
      <c r="A21" s="131" t="s">
        <v>342</v>
      </c>
      <c r="B21" s="158">
        <f>VLOOKUP($B$15,LookupStrModel,5,FALSE)</f>
        <v>60000</v>
      </c>
      <c r="C21" s="159" t="s">
        <v>341</v>
      </c>
      <c r="D21" s="156" t="s">
        <v>340</v>
      </c>
      <c r="E21" s="88">
        <f>1/E19-$E$10</f>
        <v>0.22100970328725494</v>
      </c>
      <c r="F21" s="87">
        <f t="shared" ref="F21:K21" si="0">1/F19-1/E27</f>
        <v>-0.29302540026664703</v>
      </c>
      <c r="G21" s="87">
        <f t="shared" si="0"/>
        <v>0.2370087724892482</v>
      </c>
      <c r="H21" s="87">
        <f t="shared" si="0"/>
        <v>-0.18815602063010325</v>
      </c>
      <c r="I21" s="87">
        <f t="shared" si="0"/>
        <v>0.11418277037560134</v>
      </c>
      <c r="J21" s="87">
        <f t="shared" si="0"/>
        <v>-5.8384241759245933E-2</v>
      </c>
      <c r="K21" s="86">
        <f t="shared" si="0"/>
        <v>2.7410249772259209E-2</v>
      </c>
      <c r="L21" s="33"/>
      <c r="M21" s="33"/>
      <c r="N21" s="33"/>
      <c r="O21" s="33"/>
    </row>
    <row r="22" spans="1:15" ht="45" customHeight="1" x14ac:dyDescent="0.25">
      <c r="A22" s="160" t="s">
        <v>339</v>
      </c>
      <c r="B22" s="98">
        <f>VLOOKUP($B$15,LookupStrModel,6,FALSE)</f>
        <v>-1.25</v>
      </c>
      <c r="C22" s="71" t="s">
        <v>336</v>
      </c>
      <c r="D22" s="161" t="s">
        <v>338</v>
      </c>
      <c r="E22" s="94">
        <f t="shared" ref="E22:K22" si="1">IF(ABS(E21)&lt;curv_at_yld, (modulus*width*thk^3)/(12)*(E21), (ABS(E21)/E21)*1.5*My*(1-1/3*((curv_at_yld/E21)^2)))</f>
        <v>428.94574398259755</v>
      </c>
      <c r="F22" s="93">
        <f t="shared" si="1"/>
        <v>-442.06474436540879</v>
      </c>
      <c r="G22" s="93">
        <f t="shared" si="1"/>
        <v>432.91528419857269</v>
      </c>
      <c r="H22" s="93">
        <f t="shared" si="1"/>
        <v>-417.39158341748993</v>
      </c>
      <c r="I22" s="93">
        <f t="shared" si="1"/>
        <v>345.37289634433108</v>
      </c>
      <c r="J22" s="93">
        <f t="shared" si="1"/>
        <v>-181.48376649350607</v>
      </c>
      <c r="K22" s="92">
        <f t="shared" si="1"/>
        <v>85.203048276456997</v>
      </c>
      <c r="L22" s="33"/>
      <c r="M22" s="33"/>
      <c r="N22" s="33"/>
      <c r="O22" s="33"/>
    </row>
    <row r="23" spans="1:15" ht="45" customHeight="1" thickBot="1" x14ac:dyDescent="0.3">
      <c r="A23" s="162" t="s">
        <v>337</v>
      </c>
      <c r="B23" s="163">
        <f>IF((B$18+thk)^2-(cent_dist/2)^2&lt;0, B22, IF(B$18-SQRT((B$18+thk)^2-(cent_dist/2)^2)&lt;-B22, -B$18+SQRT((B$18+thk)^2-(cent_dist/2)^2), B22))</f>
        <v>-1.25</v>
      </c>
      <c r="C23" s="71" t="s">
        <v>336</v>
      </c>
      <c r="D23" s="156" t="s">
        <v>335</v>
      </c>
      <c r="E23" s="88">
        <f t="shared" ref="E23:K23" si="2">E22/My</f>
        <v>1.4006391640248081</v>
      </c>
      <c r="F23" s="87">
        <f t="shared" si="2"/>
        <v>-1.443476716295212</v>
      </c>
      <c r="G23" s="87">
        <f t="shared" si="2"/>
        <v>1.4136009279953392</v>
      </c>
      <c r="H23" s="87">
        <f t="shared" si="2"/>
        <v>-1.3629112927918037</v>
      </c>
      <c r="I23" s="87">
        <f t="shared" si="2"/>
        <v>1.1277482329610808</v>
      </c>
      <c r="J23" s="87">
        <f t="shared" si="2"/>
        <v>-0.59260005385634629</v>
      </c>
      <c r="K23" s="86">
        <f t="shared" si="2"/>
        <v>0.27821403518843096</v>
      </c>
      <c r="L23" s="33"/>
      <c r="M23" s="33"/>
      <c r="N23" s="33"/>
      <c r="O23" s="33"/>
    </row>
    <row r="24" spans="1:15" ht="45" customHeight="1" thickBot="1" x14ac:dyDescent="0.3">
      <c r="A24" s="72"/>
      <c r="B24" s="71"/>
      <c r="C24" s="71"/>
      <c r="D24" s="156" t="s">
        <v>334</v>
      </c>
      <c r="E24" s="94">
        <f>E22*5.333/cent_dist</f>
        <v>254.1741836287992</v>
      </c>
      <c r="F24" s="93"/>
      <c r="G24" s="93">
        <f>G22*5.333/cent_dist</f>
        <v>256.52635673677645</v>
      </c>
      <c r="H24" s="93"/>
      <c r="I24" s="93">
        <f>I22*5.333/cent_dist</f>
        <v>204.65262846714643</v>
      </c>
      <c r="J24" s="93"/>
      <c r="K24" s="92">
        <f>K22*5.3333/cent_dist</f>
        <v>50.490379708092014</v>
      </c>
      <c r="L24" s="91" t="str">
        <f>IF(E24&gt;B21, "NOT ENOUGH FORCE!", IF(G24&gt;B21, "NOT ENOUGH FORCE!", IF(K24&gt;B21, "NOT ENOUGH FORCE!", "")))</f>
        <v/>
      </c>
      <c r="M24" s="33"/>
      <c r="N24" s="33"/>
      <c r="O24" s="33"/>
    </row>
    <row r="25" spans="1:15" ht="50.25" customHeight="1" x14ac:dyDescent="0.25">
      <c r="A25" s="90" t="s">
        <v>333</v>
      </c>
      <c r="B25" s="89">
        <f>-(1.5*rad_at_yld-thk-SQRT(ABS(((1.5*rad_at_yld)^2)-(cent_dist/2)^2)))</f>
        <v>-0.64522000853914463</v>
      </c>
      <c r="C25" s="81" t="str">
        <f>IF(B25&gt;B23, "OK", "WILL NOT STRAIGHTEN")</f>
        <v>OK</v>
      </c>
      <c r="D25" s="156" t="s">
        <v>332</v>
      </c>
      <c r="E25" s="88">
        <f t="shared" ref="E25:K25" si="3">-curv_at_yld*E23</f>
        <v>-0.13799400630786285</v>
      </c>
      <c r="F25" s="87">
        <f t="shared" si="3"/>
        <v>0.14221445480741005</v>
      </c>
      <c r="G25" s="87">
        <f t="shared" si="3"/>
        <v>-0.13927102738870337</v>
      </c>
      <c r="H25" s="87">
        <f t="shared" si="3"/>
        <v>0.13427697465929098</v>
      </c>
      <c r="I25" s="87">
        <f t="shared" si="3"/>
        <v>-0.11110820029173209</v>
      </c>
      <c r="J25" s="87">
        <f t="shared" si="3"/>
        <v>5.8384241759245933E-2</v>
      </c>
      <c r="K25" s="86">
        <f t="shared" si="3"/>
        <v>-2.7410249772259206E-2</v>
      </c>
      <c r="L25" s="33"/>
      <c r="M25" s="33"/>
      <c r="N25" s="33"/>
      <c r="O25" s="33"/>
    </row>
    <row r="26" spans="1:15" ht="51.75" customHeight="1" x14ac:dyDescent="0.25">
      <c r="A26" s="626" t="s">
        <v>371</v>
      </c>
      <c r="B26" s="627">
        <f>(16*yield*width*thk^2)/(15*cent_dist)</f>
        <v>217.7777777777778</v>
      </c>
      <c r="C26" s="81" t="str">
        <f>IF(B26&lt;B21, "OK", "NOT ENOUGH FORCE")</f>
        <v>OK</v>
      </c>
      <c r="D26" s="156" t="s">
        <v>330</v>
      </c>
      <c r="E26" s="84">
        <f t="shared" ref="E26:K26" si="4">IF(curv_at_yld&lt;ABS(E21),1-ABS(curv_at_yld/E21), "NONE")</f>
        <v>0.55421790979180852</v>
      </c>
      <c r="F26" s="83">
        <f t="shared" si="4"/>
        <v>0.66377601601079084</v>
      </c>
      <c r="G26" s="83">
        <f t="shared" si="4"/>
        <v>0.5843100385992922</v>
      </c>
      <c r="H26" s="83">
        <f t="shared" si="4"/>
        <v>0.47638046788112154</v>
      </c>
      <c r="I26" s="83">
        <f t="shared" si="4"/>
        <v>0.13715381783434988</v>
      </c>
      <c r="J26" s="83" t="str">
        <f t="shared" si="4"/>
        <v>NONE</v>
      </c>
      <c r="K26" s="82" t="str">
        <f t="shared" si="4"/>
        <v>NONE</v>
      </c>
      <c r="L26" s="33"/>
      <c r="M26" s="33"/>
      <c r="N26" s="33"/>
      <c r="O26" s="33"/>
    </row>
    <row r="27" spans="1:15" ht="51.75" customHeight="1" thickBot="1" x14ac:dyDescent="0.3">
      <c r="A27" s="624" t="s">
        <v>1119</v>
      </c>
      <c r="B27" s="628" t="str">
        <f>IF(AND(E26&gt;=BackbendMin, E26&lt;=BackbendMax), IF(AND(E26 &lt;= BackbendConfirm, B28=FALSE), BackbendNCText, BackbendOKText), BackbendNOText)</f>
        <v>OK</v>
      </c>
      <c r="C27" s="71"/>
      <c r="D27" s="164" t="s">
        <v>328</v>
      </c>
      <c r="E27" s="75">
        <f t="shared" ref="E27:J27" si="5">1/((1/E19)+E25)</f>
        <v>12.900612894777359</v>
      </c>
      <c r="F27" s="74">
        <f t="shared" si="5"/>
        <v>-13.643449210421672</v>
      </c>
      <c r="G27" s="74">
        <f t="shared" si="5"/>
        <v>40.912350956535128</v>
      </c>
      <c r="H27" s="74">
        <f t="shared" si="5"/>
        <v>-33.971373074547671</v>
      </c>
      <c r="I27" s="74">
        <f t="shared" si="5"/>
        <v>-37.933418803667578</v>
      </c>
      <c r="J27" s="74">
        <f t="shared" si="5"/>
        <v>-37.933418803667578</v>
      </c>
      <c r="K27" s="165">
        <f>IF(ABS((1/K19)+K25)&lt;0.00001, "FLAT", 1/((1/K19)+K25))</f>
        <v>-37.933418803667585</v>
      </c>
      <c r="L27" s="33"/>
      <c r="M27" s="33"/>
      <c r="N27" s="33"/>
      <c r="O27" s="33"/>
    </row>
    <row r="28" spans="1:15" ht="45" customHeight="1" x14ac:dyDescent="0.25">
      <c r="A28" s="72"/>
      <c r="B28" s="689" t="b">
        <v>0</v>
      </c>
      <c r="C28" s="71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</row>
    <row r="29" spans="1:15" x14ac:dyDescent="0.25">
      <c r="A29" s="33"/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</row>
    <row r="31" spans="1:15" hidden="1" x14ac:dyDescent="0.25">
      <c r="A31" s="33"/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</row>
    <row r="32" spans="1:15" hidden="1" x14ac:dyDescent="0.25">
      <c r="A32" s="46"/>
      <c r="B32" s="46"/>
      <c r="C32" s="46" t="s">
        <v>169</v>
      </c>
      <c r="D32" s="37">
        <f>VLOOKUP($B$15,LookupStrModel,7,FALSE)</f>
        <v>0.18</v>
      </c>
      <c r="E32" s="68" t="s">
        <v>327</v>
      </c>
      <c r="F32" s="67">
        <v>0.33</v>
      </c>
      <c r="G32" s="33">
        <f>E19/H33</f>
        <v>1.138325529209909</v>
      </c>
      <c r="H32" s="33" t="s">
        <v>326</v>
      </c>
      <c r="I32" s="33" t="s">
        <v>293</v>
      </c>
      <c r="J32" s="33" t="s">
        <v>292</v>
      </c>
      <c r="K32" s="33" t="s">
        <v>291</v>
      </c>
      <c r="L32" s="33"/>
      <c r="M32" s="33"/>
      <c r="N32" s="33"/>
      <c r="O32" s="33"/>
    </row>
    <row r="33" spans="1:13" hidden="1" x14ac:dyDescent="0.25">
      <c r="A33" s="46"/>
      <c r="B33" s="46"/>
      <c r="C33" s="46" t="s">
        <v>166</v>
      </c>
      <c r="D33" s="37">
        <f>VLOOKUP($B$15,LookupStrModel,8,FALSE)</f>
        <v>0.18</v>
      </c>
      <c r="E33" s="33"/>
      <c r="F33" s="33"/>
      <c r="G33" s="33"/>
      <c r="H33" s="65">
        <f>rad_at_yld/2.49</f>
        <v>4.0763052208835342</v>
      </c>
      <c r="I33" s="65">
        <f>H33-(SQRT(((H33+(thk/4))^2)-((cent_dist/4)^2)))</f>
        <v>0.66673396372115912</v>
      </c>
      <c r="J33" s="65">
        <f>ABS(I33)*-2 * 1.07</f>
        <v>-1.4268106823632807</v>
      </c>
      <c r="K33" s="65">
        <f>10000+(L41*1000)</f>
        <v>8323.488621151022</v>
      </c>
      <c r="L33" s="33">
        <f>10000+(B22*1000)</f>
        <v>8750</v>
      </c>
      <c r="M33" s="33">
        <f>IF(K33&gt;L33,K33,L33)</f>
        <v>8750</v>
      </c>
    </row>
    <row r="34" spans="1:13" hidden="1" x14ac:dyDescent="0.25">
      <c r="A34" s="46"/>
      <c r="B34" s="46"/>
      <c r="C34" s="33"/>
      <c r="D34" s="33"/>
      <c r="E34" s="33"/>
      <c r="F34" s="33"/>
      <c r="G34" s="33"/>
      <c r="H34" s="33"/>
      <c r="I34" s="65">
        <f>H33-(SQRT(((H33+(thk/4))*((H33+(thk/4)))-(((cent_dist/4)*(cent_dist/4))))))</f>
        <v>0.66673396372115912</v>
      </c>
      <c r="J34" s="33"/>
      <c r="K34" s="33"/>
      <c r="L34" s="33"/>
      <c r="M34" s="33"/>
    </row>
    <row r="35" spans="1:13" hidden="1" x14ac:dyDescent="0.25">
      <c r="A35" s="46"/>
      <c r="B35" s="46"/>
      <c r="C35" s="33"/>
      <c r="D35" s="33"/>
      <c r="E35" s="33"/>
      <c r="F35" s="33"/>
      <c r="G35" s="33"/>
      <c r="H35" s="33"/>
      <c r="I35" s="65">
        <f>(SQRT(((H33+(thk/4))*((H33+(thk/4)))-(((cent_dist/4)*(cent_dist/4))))))</f>
        <v>3.4095712571623751</v>
      </c>
      <c r="J35" s="65">
        <f>I35-H33</f>
        <v>-0.66673396372115912</v>
      </c>
      <c r="K35" s="33"/>
      <c r="L35" s="33"/>
      <c r="M35" s="33"/>
    </row>
    <row r="36" spans="1:13" hidden="1" x14ac:dyDescent="0.25">
      <c r="A36" s="46"/>
      <c r="B36" s="46"/>
      <c r="C36" s="33"/>
      <c r="D36" s="33"/>
      <c r="E36" s="33"/>
      <c r="F36" s="33"/>
      <c r="G36" s="33"/>
      <c r="H36" s="33"/>
      <c r="I36" s="33">
        <v>4</v>
      </c>
      <c r="J36" s="33">
        <v>8</v>
      </c>
      <c r="K36" s="33">
        <v>2</v>
      </c>
      <c r="L36" s="33">
        <v>3</v>
      </c>
      <c r="M36" s="33"/>
    </row>
    <row r="37" spans="1:13" hidden="1" x14ac:dyDescent="0.25">
      <c r="A37" s="46"/>
      <c r="B37" s="46"/>
      <c r="C37" s="33"/>
      <c r="D37" s="33"/>
      <c r="E37" s="33"/>
      <c r="F37" s="33"/>
      <c r="G37" s="33"/>
      <c r="H37" s="33" t="s">
        <v>276</v>
      </c>
      <c r="I37" s="65">
        <f>SQRT(((I39)^2)-((I38)^2))</f>
        <v>3.3990828548010357</v>
      </c>
      <c r="J37" s="65">
        <f>SQRT(((J39)^2)-((J38)^2))</f>
        <v>3.9179891850032407</v>
      </c>
      <c r="K37" s="65" t="e">
        <f>SQRT(((K39)^2)-((K38)^2))</f>
        <v>#NUM!</v>
      </c>
      <c r="L37" s="65">
        <f>SQRT(((L39)^2)-((L38)^2))</f>
        <v>2.7597580063843208</v>
      </c>
      <c r="M37" s="33"/>
    </row>
    <row r="38" spans="1:13" hidden="1" x14ac:dyDescent="0.25">
      <c r="A38" s="33"/>
      <c r="B38" s="46"/>
      <c r="C38" s="33"/>
      <c r="D38" s="33"/>
      <c r="E38" s="33"/>
      <c r="F38" s="33"/>
      <c r="G38" s="33"/>
      <c r="H38" s="33" t="s">
        <v>271</v>
      </c>
      <c r="I38" s="65">
        <f>cent_dist/4</f>
        <v>2.25</v>
      </c>
      <c r="J38" s="65">
        <f>cent_dist/8</f>
        <v>1.125</v>
      </c>
      <c r="K38" s="65">
        <f>cent_dist/2</f>
        <v>4.5</v>
      </c>
      <c r="L38" s="65">
        <f>cent_dist/3</f>
        <v>3</v>
      </c>
      <c r="M38" s="33"/>
    </row>
    <row r="39" spans="1:13" hidden="1" x14ac:dyDescent="0.25">
      <c r="A39" s="33"/>
      <c r="B39" s="46"/>
      <c r="C39" s="33"/>
      <c r="D39" s="33"/>
      <c r="E39" s="33"/>
      <c r="F39" s="33"/>
      <c r="G39" s="33"/>
      <c r="H39" s="33" t="s">
        <v>325</v>
      </c>
      <c r="I39" s="65">
        <f>H33</f>
        <v>4.0763052208835342</v>
      </c>
      <c r="J39" s="65">
        <f>H33</f>
        <v>4.0763052208835342</v>
      </c>
      <c r="K39" s="65">
        <f>H33</f>
        <v>4.0763052208835342</v>
      </c>
      <c r="L39" s="65">
        <f>H33</f>
        <v>4.0763052208835342</v>
      </c>
      <c r="M39" s="33"/>
    </row>
    <row r="40" spans="1:13" hidden="1" x14ac:dyDescent="0.25">
      <c r="A40" s="33"/>
      <c r="B40" s="46"/>
      <c r="C40" s="33"/>
      <c r="D40" s="33"/>
      <c r="E40" s="33"/>
      <c r="F40" s="33"/>
      <c r="G40" s="33"/>
      <c r="H40" s="33" t="s">
        <v>324</v>
      </c>
      <c r="I40" s="65">
        <f>(I39-I37) *2</f>
        <v>1.3544447321649971</v>
      </c>
      <c r="J40" s="65">
        <f>(J39-J37) *4</f>
        <v>0.63326414352117411</v>
      </c>
      <c r="K40" s="65" t="e">
        <f>(K39-K37) *1</f>
        <v>#NUM!</v>
      </c>
      <c r="L40" s="65">
        <f>(L39-L37) *1.3</f>
        <v>1.7115113788489775</v>
      </c>
      <c r="M40" s="33"/>
    </row>
    <row r="41" spans="1:13" hidden="1" x14ac:dyDescent="0.25">
      <c r="A41" s="33"/>
      <c r="B41" s="46"/>
      <c r="C41" s="33"/>
      <c r="D41" s="33"/>
      <c r="E41" s="33"/>
      <c r="F41" s="33"/>
      <c r="G41" s="33"/>
      <c r="H41" s="33" t="s">
        <v>263</v>
      </c>
      <c r="I41" s="65">
        <f>thk-I40</f>
        <v>-1.3194447321649971</v>
      </c>
      <c r="J41" s="65">
        <f>thk-J40</f>
        <v>-0.59826414352117407</v>
      </c>
      <c r="K41" s="65" t="e">
        <f>thk-K40</f>
        <v>#NUM!</v>
      </c>
      <c r="L41" s="65">
        <f>thk-L40</f>
        <v>-1.6765113788489776</v>
      </c>
      <c r="M41" s="33"/>
    </row>
    <row r="42" spans="1:13" hidden="1" x14ac:dyDescent="0.25">
      <c r="A42" s="33"/>
      <c r="B42" s="46"/>
      <c r="C42" s="33"/>
      <c r="D42" s="33"/>
      <c r="E42" s="33"/>
      <c r="F42" s="33"/>
      <c r="G42" s="33"/>
      <c r="H42" s="66">
        <f>E19</f>
        <v>4.6401622977833643</v>
      </c>
      <c r="I42" s="65">
        <f>H42-(SQRT(((H42+(thk/4))^2)-((cent_dist/4)^2)))</f>
        <v>0.572007242665455</v>
      </c>
      <c r="J42" s="65">
        <f>ABS(I42)*-2</f>
        <v>-1.14401448533091</v>
      </c>
      <c r="K42" s="33"/>
      <c r="L42" s="33"/>
      <c r="M42" s="33"/>
    </row>
    <row r="43" spans="1:13" hidden="1" x14ac:dyDescent="0.25">
      <c r="A43" s="33"/>
      <c r="B43" s="46"/>
      <c r="C43" s="33"/>
      <c r="D43" s="33"/>
      <c r="E43" s="33"/>
      <c r="F43" s="33"/>
      <c r="G43" s="33"/>
      <c r="H43" s="33"/>
      <c r="I43" s="33"/>
      <c r="J43" s="65">
        <f>E18/J42</f>
        <v>1.0926435076024701</v>
      </c>
      <c r="K43" s="33"/>
      <c r="L43" s="33"/>
      <c r="M43" s="33"/>
    </row>
    <row r="44" spans="1:13" hidden="1" x14ac:dyDescent="0.25">
      <c r="A44" s="33"/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 t="s">
        <v>323</v>
      </c>
      <c r="M44" s="33"/>
    </row>
    <row r="45" spans="1:13" hidden="1" x14ac:dyDescent="0.25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 t="s">
        <v>322</v>
      </c>
      <c r="M45" s="33"/>
    </row>
    <row r="46" spans="1:13" hidden="1" x14ac:dyDescent="0.25">
      <c r="A46" s="33"/>
      <c r="B46" s="46"/>
      <c r="C46" s="33"/>
      <c r="D46" s="33"/>
      <c r="E46" s="33"/>
      <c r="F46" s="33"/>
      <c r="G46" s="33"/>
      <c r="H46" s="33"/>
      <c r="I46" s="33"/>
      <c r="J46" s="33"/>
      <c r="K46" s="33"/>
      <c r="L46" s="33" t="s">
        <v>321</v>
      </c>
      <c r="M46" s="33"/>
    </row>
    <row r="47" spans="1:13" hidden="1" x14ac:dyDescent="0.25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 t="s">
        <v>320</v>
      </c>
      <c r="M47" s="33"/>
    </row>
    <row r="48" spans="1:13" hidden="1" x14ac:dyDescent="0.25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 t="s">
        <v>319</v>
      </c>
      <c r="M48" s="33"/>
    </row>
    <row r="49" spans="1:7" hidden="1" x14ac:dyDescent="0.25">
      <c r="A49" s="33"/>
      <c r="B49" s="33"/>
      <c r="C49" s="33"/>
      <c r="D49" s="33"/>
      <c r="E49" s="33"/>
      <c r="F49" s="33"/>
      <c r="G49" s="33"/>
    </row>
    <row r="50" spans="1:7" x14ac:dyDescent="0.25">
      <c r="A50" s="33"/>
      <c r="B50" s="33"/>
      <c r="C50" s="33"/>
      <c r="D50" s="33"/>
      <c r="E50" s="33"/>
      <c r="F50" s="33"/>
      <c r="G50" s="33"/>
    </row>
    <row r="51" spans="1:7" x14ac:dyDescent="0.25">
      <c r="A51" s="33"/>
      <c r="B51" s="33"/>
      <c r="C51" s="33"/>
      <c r="D51" s="33"/>
      <c r="E51" s="33"/>
      <c r="F51" s="33"/>
      <c r="G51" s="33"/>
    </row>
    <row r="52" spans="1:7" x14ac:dyDescent="0.25">
      <c r="A52" s="33"/>
      <c r="B52" s="33"/>
      <c r="C52" s="33"/>
      <c r="D52" s="33"/>
      <c r="E52" s="33"/>
      <c r="F52" s="33"/>
      <c r="G52" s="33"/>
    </row>
    <row r="53" spans="1:7" x14ac:dyDescent="0.25">
      <c r="A53" s="33"/>
      <c r="B53" s="33"/>
      <c r="C53" s="33"/>
      <c r="D53" s="33"/>
      <c r="E53" s="33"/>
      <c r="F53" s="33"/>
      <c r="G53" s="33"/>
    </row>
    <row r="54" spans="1:7" x14ac:dyDescent="0.25">
      <c r="A54" s="33"/>
      <c r="B54" s="33"/>
      <c r="C54" s="33"/>
      <c r="D54" s="33"/>
      <c r="E54" s="33"/>
      <c r="F54" s="33"/>
      <c r="G54" s="33"/>
    </row>
    <row r="55" spans="1:7" x14ac:dyDescent="0.25">
      <c r="A55" s="33"/>
      <c r="B55" s="33"/>
      <c r="C55" s="33"/>
      <c r="D55" s="33"/>
      <c r="E55" s="33"/>
      <c r="F55" s="33"/>
      <c r="G55" s="33"/>
    </row>
    <row r="56" spans="1:7" x14ac:dyDescent="0.25">
      <c r="A56" s="33"/>
      <c r="B56" s="33"/>
      <c r="C56" s="33"/>
      <c r="D56" s="33"/>
      <c r="E56" s="33"/>
      <c r="F56" s="33"/>
      <c r="G56" s="33"/>
    </row>
    <row r="57" spans="1:7" x14ac:dyDescent="0.25">
      <c r="A57" s="35"/>
      <c r="B57" s="36"/>
      <c r="C57" s="36"/>
      <c r="D57" s="33"/>
      <c r="E57" s="36"/>
      <c r="F57" s="36"/>
      <c r="G57" s="33"/>
    </row>
    <row r="58" spans="1:7" x14ac:dyDescent="0.25">
      <c r="A58" s="35"/>
      <c r="B58" s="36"/>
      <c r="C58" s="36"/>
      <c r="D58" s="33"/>
      <c r="E58" s="36"/>
      <c r="F58" s="36"/>
      <c r="G58" s="36"/>
    </row>
    <row r="59" spans="1:7" x14ac:dyDescent="0.25">
      <c r="A59" s="35"/>
      <c r="B59" s="36"/>
      <c r="C59" s="36"/>
      <c r="D59" s="33"/>
      <c r="E59" s="36"/>
      <c r="F59" s="36"/>
      <c r="G59" s="36"/>
    </row>
    <row r="60" spans="1:7" x14ac:dyDescent="0.25">
      <c r="A60" s="35"/>
      <c r="B60" s="36"/>
      <c r="C60" s="36"/>
      <c r="D60" s="33"/>
      <c r="E60" s="36"/>
      <c r="F60" s="36"/>
      <c r="G60" s="36"/>
    </row>
    <row r="61" spans="1:7" x14ac:dyDescent="0.25">
      <c r="A61" s="35"/>
      <c r="B61" s="36"/>
      <c r="C61" s="36"/>
      <c r="D61" s="33"/>
      <c r="E61" s="36"/>
      <c r="F61" s="36"/>
      <c r="G61" s="36"/>
    </row>
    <row r="62" spans="1:7" x14ac:dyDescent="0.25">
      <c r="A62" s="35"/>
      <c r="B62" s="36"/>
      <c r="C62" s="36"/>
      <c r="D62" s="33"/>
      <c r="E62" s="36"/>
      <c r="F62" s="36"/>
      <c r="G62" s="36"/>
    </row>
    <row r="63" spans="1:7" x14ac:dyDescent="0.25">
      <c r="A63" s="35"/>
      <c r="B63" s="36"/>
      <c r="C63" s="36"/>
      <c r="D63" s="33"/>
      <c r="E63" s="36"/>
      <c r="F63" s="36"/>
      <c r="G63" s="36"/>
    </row>
    <row r="64" spans="1:7" x14ac:dyDescent="0.25">
      <c r="A64" s="35"/>
      <c r="B64" s="36"/>
      <c r="C64" s="36"/>
      <c r="D64" s="33"/>
      <c r="E64" s="36"/>
      <c r="F64" s="33"/>
      <c r="G64" s="33"/>
    </row>
    <row r="65" spans="1:7" x14ac:dyDescent="0.25">
      <c r="A65" s="35"/>
      <c r="B65" s="36"/>
      <c r="C65" s="36"/>
      <c r="D65" s="33"/>
      <c r="E65" s="36"/>
      <c r="F65" s="36"/>
      <c r="G65" s="36"/>
    </row>
    <row r="66" spans="1:7" x14ac:dyDescent="0.25">
      <c r="A66" s="33"/>
      <c r="B66" s="33"/>
      <c r="C66" s="33"/>
      <c r="D66" s="33"/>
      <c r="E66" s="33"/>
      <c r="F66" s="33"/>
      <c r="G66" s="33"/>
    </row>
    <row r="67" spans="1:7" x14ac:dyDescent="0.25">
      <c r="A67" s="33"/>
      <c r="B67" s="33"/>
      <c r="C67" s="33"/>
      <c r="D67" s="33"/>
      <c r="E67" s="33"/>
      <c r="F67" s="33"/>
      <c r="G67" s="33"/>
    </row>
    <row r="68" spans="1:7" x14ac:dyDescent="0.25">
      <c r="A68" s="33"/>
      <c r="B68" s="33"/>
      <c r="C68" s="33"/>
      <c r="D68" s="33"/>
      <c r="E68" s="33"/>
      <c r="F68" s="33"/>
      <c r="G68" s="33"/>
    </row>
    <row r="69" spans="1:7" x14ac:dyDescent="0.25">
      <c r="A69" s="33"/>
      <c r="B69" s="33"/>
      <c r="C69" s="33"/>
      <c r="D69" s="33"/>
      <c r="E69" s="33"/>
      <c r="F69" s="33"/>
      <c r="G69" s="33"/>
    </row>
    <row r="70" spans="1:7" x14ac:dyDescent="0.25">
      <c r="A70" s="33"/>
      <c r="B70" s="33"/>
      <c r="C70" s="33"/>
      <c r="D70" s="33"/>
      <c r="E70" s="33"/>
      <c r="F70" s="33"/>
      <c r="G70" s="33"/>
    </row>
    <row r="71" spans="1:7" x14ac:dyDescent="0.25">
      <c r="A71" s="33"/>
      <c r="B71" s="33"/>
      <c r="C71" s="33"/>
      <c r="D71" s="33"/>
      <c r="E71" s="33"/>
      <c r="F71" s="33"/>
      <c r="G71" s="33"/>
    </row>
    <row r="72" spans="1:7" x14ac:dyDescent="0.25">
      <c r="A72" s="33"/>
      <c r="B72" s="33"/>
      <c r="C72" s="33"/>
      <c r="D72" s="33"/>
      <c r="E72" s="33"/>
      <c r="F72" s="33"/>
      <c r="G72" s="33"/>
    </row>
    <row r="73" spans="1:7" x14ac:dyDescent="0.25">
      <c r="A73" s="33"/>
      <c r="B73" s="33"/>
      <c r="C73" s="33"/>
      <c r="D73" s="33"/>
      <c r="E73" s="33"/>
      <c r="F73" s="33"/>
      <c r="G73" s="33"/>
    </row>
    <row r="74" spans="1:7" x14ac:dyDescent="0.25">
      <c r="A74" s="33"/>
      <c r="B74" s="33"/>
      <c r="C74" s="33"/>
      <c r="D74" s="33"/>
      <c r="E74" s="33"/>
      <c r="F74" s="33"/>
      <c r="G74" s="33"/>
    </row>
    <row r="75" spans="1:7" x14ac:dyDescent="0.25">
      <c r="A75" s="33"/>
      <c r="B75" s="33"/>
      <c r="C75" s="33"/>
      <c r="D75" s="33"/>
      <c r="E75" s="33"/>
      <c r="F75" s="33"/>
      <c r="G75" s="33"/>
    </row>
    <row r="76" spans="1:7" x14ac:dyDescent="0.25">
      <c r="A76" s="33"/>
      <c r="B76" s="33"/>
      <c r="C76" s="33"/>
      <c r="D76" s="33"/>
      <c r="E76" s="33"/>
      <c r="F76" s="33"/>
      <c r="G76" s="33"/>
    </row>
    <row r="77" spans="1:7" x14ac:dyDescent="0.25">
      <c r="A77" s="33"/>
      <c r="B77" s="33"/>
      <c r="C77" s="33"/>
      <c r="D77" s="33"/>
      <c r="E77" s="33"/>
      <c r="F77" s="33"/>
      <c r="G77" s="33"/>
    </row>
    <row r="78" spans="1:7" x14ac:dyDescent="0.25">
      <c r="A78" s="33"/>
      <c r="B78" s="33"/>
      <c r="C78" s="33"/>
      <c r="D78" s="33"/>
      <c r="E78" s="33"/>
      <c r="F78" s="33"/>
      <c r="G78" s="33"/>
    </row>
    <row r="79" spans="1:7" x14ac:dyDescent="0.25">
      <c r="A79" s="33"/>
      <c r="B79" s="33"/>
      <c r="C79" s="33"/>
      <c r="D79" s="33"/>
      <c r="E79" s="33"/>
      <c r="F79" s="33"/>
      <c r="G79" s="33"/>
    </row>
    <row r="80" spans="1:7" x14ac:dyDescent="0.25">
      <c r="A80" s="35"/>
      <c r="B80" s="36"/>
      <c r="C80" s="36"/>
      <c r="D80" s="33"/>
      <c r="E80" s="36"/>
      <c r="F80" s="36"/>
      <c r="G80" s="36"/>
    </row>
    <row r="81" spans="1:7" x14ac:dyDescent="0.25">
      <c r="A81" s="35"/>
      <c r="B81" s="36"/>
      <c r="C81" s="36"/>
      <c r="D81" s="33"/>
      <c r="E81" s="36"/>
      <c r="F81" s="36"/>
      <c r="G81" s="36"/>
    </row>
    <row r="82" spans="1:7" x14ac:dyDescent="0.25">
      <c r="A82" s="35"/>
      <c r="B82" s="36"/>
      <c r="C82" s="36"/>
      <c r="D82" s="33"/>
      <c r="E82" s="36"/>
      <c r="F82" s="36"/>
      <c r="G82" s="36"/>
    </row>
    <row r="83" spans="1:7" x14ac:dyDescent="0.25">
      <c r="A83" s="35"/>
      <c r="B83" s="36"/>
      <c r="C83" s="36"/>
      <c r="D83" s="33"/>
      <c r="E83" s="36"/>
      <c r="F83" s="36"/>
      <c r="G83" s="36"/>
    </row>
    <row r="84" spans="1:7" x14ac:dyDescent="0.25">
      <c r="A84" s="35"/>
      <c r="B84" s="36"/>
      <c r="C84" s="36"/>
      <c r="D84" s="33"/>
      <c r="E84" s="36"/>
      <c r="F84" s="36"/>
      <c r="G84" s="36"/>
    </row>
    <row r="85" spans="1:7" x14ac:dyDescent="0.25">
      <c r="A85" s="35"/>
      <c r="B85" s="36"/>
      <c r="C85" s="36"/>
      <c r="D85" s="33"/>
      <c r="E85" s="36"/>
      <c r="F85" s="36"/>
      <c r="G85" s="36"/>
    </row>
    <row r="86" spans="1:7" x14ac:dyDescent="0.25">
      <c r="A86" s="33"/>
      <c r="B86" s="33"/>
      <c r="C86" s="33"/>
      <c r="D86" s="33"/>
      <c r="E86" s="33"/>
      <c r="F86" s="33"/>
      <c r="G86" s="33"/>
    </row>
    <row r="87" spans="1:7" x14ac:dyDescent="0.25">
      <c r="A87" s="33"/>
      <c r="B87" s="33"/>
      <c r="C87" s="33"/>
      <c r="D87" s="33"/>
      <c r="E87" s="33"/>
      <c r="F87" s="33"/>
      <c r="G87" s="33"/>
    </row>
  </sheetData>
  <sheetProtection algorithmName="SHA-512" hashValue="bPI4GALysJMO44w3qAaZJxECehP+DbQ4+Jz9oq1Xuw9j/t1YdybsTYswyZ74hQZ1diCWzVbMu67OVLW4iMm1kQ==" saltValue="lECgwYWMtETuvlY9rF7Djg==" spinCount="100000" sheet="1" objects="1" scenarios="1"/>
  <mergeCells count="3">
    <mergeCell ref="B4:F4"/>
    <mergeCell ref="B5:F5"/>
    <mergeCell ref="B6:F6"/>
  </mergeCells>
  <conditionalFormatting sqref="E18 K18 G18:I18">
    <cfRule type="cellIs" dxfId="99" priority="4" stopIfTrue="1" operator="notBetween">
      <formula>$B$23</formula>
      <formula>1.25*thk</formula>
    </cfRule>
  </conditionalFormatting>
  <conditionalFormatting sqref="E24 K24 G24 I24">
    <cfRule type="cellIs" dxfId="98" priority="5" stopIfTrue="1" operator="greaterThan">
      <formula>$B$21</formula>
    </cfRule>
  </conditionalFormatting>
  <conditionalFormatting sqref="E14 K14 G14:I14">
    <cfRule type="cellIs" dxfId="97" priority="6" stopIfTrue="1" operator="equal">
      <formula>"ROLLER TOO HIGH!"</formula>
    </cfRule>
  </conditionalFormatting>
  <conditionalFormatting sqref="L24">
    <cfRule type="cellIs" dxfId="96" priority="7" stopIfTrue="1" operator="equal">
      <formula>"NOT ENOUGH FORCE!"</formula>
    </cfRule>
  </conditionalFormatting>
  <conditionalFormatting sqref="C25">
    <cfRule type="cellIs" dxfId="95" priority="8" stopIfTrue="1" operator="equal">
      <formula>"WILL NOT STRAIGHTEN"</formula>
    </cfRule>
    <cfRule type="cellIs" dxfId="94" priority="9" stopIfTrue="1" operator="equal">
      <formula>"OK"</formula>
    </cfRule>
  </conditionalFormatting>
  <conditionalFormatting sqref="C26">
    <cfRule type="cellIs" dxfId="93" priority="10" stopIfTrue="1" operator="equal">
      <formula>"NOT ENOUGH FORCE"</formula>
    </cfRule>
    <cfRule type="cellIs" dxfId="92" priority="11" stopIfTrue="1" operator="equal">
      <formula>"OK"</formula>
    </cfRule>
  </conditionalFormatting>
  <conditionalFormatting sqref="E26">
    <cfRule type="cellIs" dxfId="91" priority="1" operator="between">
      <formula>47%</formula>
      <formula>70%</formula>
    </cfRule>
    <cfRule type="cellIs" dxfId="90" priority="2" operator="greaterThan">
      <formula>70%</formula>
    </cfRule>
    <cfRule type="cellIs" dxfId="89" priority="3" operator="lessThan">
      <formula>47%</formula>
    </cfRule>
  </conditionalFormatting>
  <dataValidations count="1">
    <dataValidation errorTitle="Roller Depth too great" error="You have engaged the rollers too far." sqref="K18 E18 G18:I18" xr:uid="{1AED8B1F-7BD0-4CCC-9B4C-B134A6D7C5B6}"/>
  </dataValidations>
  <pageMargins left="0.75" right="0.75" top="1" bottom="1" header="0.5" footer="0.5"/>
  <pageSetup scale="68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7458" r:id="rId4" name="CommandButton1">
          <controlPr defaultSize="0" autoLine="0" r:id="rId5">
            <anchor moveWithCells="1">
              <from>
                <xdr:col>3</xdr:col>
                <xdr:colOff>19050</xdr:colOff>
                <xdr:row>14</xdr:row>
                <xdr:rowOff>9525</xdr:rowOff>
              </from>
              <to>
                <xdr:col>3</xdr:col>
                <xdr:colOff>628650</xdr:colOff>
                <xdr:row>15</xdr:row>
                <xdr:rowOff>19050</xdr:rowOff>
              </to>
            </anchor>
          </controlPr>
        </control>
      </mc:Choice>
      <mc:Fallback>
        <control shapeId="147458" r:id="rId4" name="CommandButton1"/>
      </mc:Fallback>
    </mc:AlternateContent>
    <mc:AlternateContent xmlns:mc="http://schemas.openxmlformats.org/markup-compatibility/2006">
      <mc:Choice Requires="x14">
        <control shapeId="147457" r:id="rId6" name="Spinner 1">
          <controlPr defaultSize="0" autoPict="0">
            <anchor moveWithCells="1" sizeWithCells="1">
              <from>
                <xdr:col>4</xdr:col>
                <xdr:colOff>0</xdr:colOff>
                <xdr:row>13</xdr:row>
                <xdr:rowOff>219075</xdr:rowOff>
              </from>
              <to>
                <xdr:col>4</xdr:col>
                <xdr:colOff>971550</xdr:colOff>
                <xdr:row>15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7459" r:id="rId7" name="Button 3">
          <controlPr defaultSize="0" print="0" autoFill="0" autoPict="0" macro="[0]!Tbl_Contents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142875</xdr:colOff>
                <xdr:row>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7467" r:id="rId8" name="Check Box 11">
          <controlPr defaultSize="0" autoFill="0" autoLine="0" autoPict="0" altText="Confirmed">
            <anchor moveWithCells="1">
              <from>
                <xdr:col>1</xdr:col>
                <xdr:colOff>104775</xdr:colOff>
                <xdr:row>27</xdr:row>
                <xdr:rowOff>142875</xdr:rowOff>
              </from>
              <to>
                <xdr:col>1</xdr:col>
                <xdr:colOff>847725</xdr:colOff>
                <xdr:row>27</xdr:row>
                <xdr:rowOff>457200</xdr:rowOff>
              </to>
            </anchor>
          </controlPr>
        </control>
      </mc:Choice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F0B9B-A969-4F81-BE42-ADC7FF4B55F1}">
  <sheetPr codeName="Sheet55">
    <tabColor rgb="FFFFFF00"/>
    <pageSetUpPr fitToPage="1"/>
  </sheetPr>
  <dimension ref="A1:O87"/>
  <sheetViews>
    <sheetView zoomScale="85" workbookViewId="0">
      <selection activeCell="B28" sqref="B28"/>
    </sheetView>
  </sheetViews>
  <sheetFormatPr defaultRowHeight="15" x14ac:dyDescent="0.25"/>
  <cols>
    <col min="1" max="1" width="21.5703125" customWidth="1"/>
    <col min="2" max="2" width="15.5703125" customWidth="1"/>
    <col min="3" max="4" width="15.140625" customWidth="1"/>
    <col min="5" max="5" width="14.7109375" customWidth="1"/>
    <col min="6" max="6" width="13" customWidth="1"/>
    <col min="7" max="9" width="14.140625" customWidth="1"/>
    <col min="10" max="10" width="12.42578125" customWidth="1"/>
    <col min="11" max="11" width="14.140625" customWidth="1"/>
    <col min="12" max="12" width="12.7109375" customWidth="1"/>
  </cols>
  <sheetData>
    <row r="1" spans="1:11" ht="18.75" x14ac:dyDescent="0.3">
      <c r="A1" s="33"/>
      <c r="B1" s="42"/>
      <c r="C1" s="33"/>
      <c r="D1" s="33"/>
      <c r="E1" s="145" t="s">
        <v>0</v>
      </c>
      <c r="F1" s="33"/>
      <c r="G1" s="33"/>
      <c r="H1" s="33"/>
      <c r="I1" s="33"/>
      <c r="J1" s="33"/>
      <c r="K1" s="33"/>
    </row>
    <row r="2" spans="1:11" x14ac:dyDescent="0.25">
      <c r="A2" s="33"/>
      <c r="B2" s="42"/>
      <c r="C2" s="33"/>
      <c r="D2" s="33"/>
      <c r="E2" s="144" t="s">
        <v>368</v>
      </c>
      <c r="F2" s="33"/>
      <c r="G2" s="33"/>
      <c r="H2" s="33"/>
      <c r="I2" s="33"/>
      <c r="J2" s="33"/>
      <c r="K2" s="33"/>
    </row>
    <row r="3" spans="1:11" x14ac:dyDescent="0.25">
      <c r="A3" s="33"/>
      <c r="B3" s="33"/>
      <c r="C3" s="33"/>
      <c r="D3" s="33"/>
      <c r="E3" s="144"/>
      <c r="F3" s="33"/>
      <c r="G3" s="33"/>
      <c r="H3" s="33"/>
      <c r="I3" s="33"/>
      <c r="J3" s="33"/>
      <c r="K3" s="33"/>
    </row>
    <row r="4" spans="1:11" x14ac:dyDescent="0.25">
      <c r="A4" s="143" t="s">
        <v>1</v>
      </c>
      <c r="B4" s="997" t="str">
        <f>Customer</f>
        <v>ULTRATECH TOOL&amp; DESIGN, INC.</v>
      </c>
      <c r="C4" s="997"/>
      <c r="D4" s="997"/>
      <c r="E4" s="997"/>
      <c r="F4" s="997"/>
      <c r="G4" s="33"/>
      <c r="H4" s="33"/>
      <c r="I4" s="33"/>
      <c r="J4" s="33"/>
      <c r="K4" s="33"/>
    </row>
    <row r="5" spans="1:11" x14ac:dyDescent="0.25">
      <c r="A5" s="143" t="s">
        <v>2</v>
      </c>
      <c r="B5" s="998">
        <f>CalcDate</f>
        <v>0</v>
      </c>
      <c r="C5" s="997"/>
      <c r="D5" s="997"/>
      <c r="E5" s="997"/>
      <c r="F5" s="997"/>
      <c r="G5" s="33"/>
      <c r="H5" s="33"/>
      <c r="I5" s="33"/>
      <c r="J5" s="33"/>
      <c r="K5" s="33"/>
    </row>
    <row r="6" spans="1:11" x14ac:dyDescent="0.25">
      <c r="A6" s="143" t="s">
        <v>3</v>
      </c>
      <c r="B6" s="997">
        <f>Reference</f>
        <v>0</v>
      </c>
      <c r="C6" s="997"/>
      <c r="D6" s="997"/>
      <c r="E6" s="997"/>
      <c r="F6" s="997"/>
      <c r="G6" s="33"/>
      <c r="H6" s="33"/>
      <c r="I6" s="33"/>
      <c r="J6" s="33"/>
      <c r="K6" s="33"/>
    </row>
    <row r="8" spans="1:11" ht="16.5" customHeight="1" x14ac:dyDescent="0.25">
      <c r="A8" s="146"/>
      <c r="B8" s="147"/>
      <c r="C8" s="148"/>
      <c r="D8" s="123" t="s">
        <v>366</v>
      </c>
      <c r="E8" s="132">
        <v>-60</v>
      </c>
      <c r="F8" s="33" t="s">
        <v>365</v>
      </c>
      <c r="G8" s="33"/>
      <c r="H8" s="33"/>
      <c r="I8" s="33"/>
      <c r="J8" s="33"/>
      <c r="K8" s="33"/>
    </row>
    <row r="9" spans="1:11" x14ac:dyDescent="0.25">
      <c r="A9" s="149"/>
      <c r="B9" s="150"/>
      <c r="C9" s="148"/>
      <c r="D9" s="123" t="s">
        <v>364</v>
      </c>
      <c r="E9" s="132">
        <f>IF(ABS(1/$E$8)&gt;curv_at_yld, 1/((1/$E$8)-((ABS($E$8)/$E$8)*(1.5*(1-$F$32))*curv_at_yld*(1-((1/3)*(curv_at_yld/(1/$E$8))^2)))), IF($F$32=0, ABS($E$8)/$E$8*99999, $E$8/$F$32))</f>
        <v>-181.81818181818181</v>
      </c>
      <c r="F9" s="33" t="s">
        <v>363</v>
      </c>
      <c r="G9" s="33"/>
      <c r="H9" s="33"/>
      <c r="I9" s="33"/>
      <c r="J9" s="33"/>
      <c r="K9" s="33"/>
    </row>
    <row r="10" spans="1:11" ht="15.75" thickBot="1" x14ac:dyDescent="0.3">
      <c r="A10" s="33"/>
      <c r="B10" s="33"/>
      <c r="C10" s="33"/>
      <c r="D10" s="123" t="s">
        <v>362</v>
      </c>
      <c r="E10" s="138">
        <f>1/$E$9</f>
        <v>-5.5000000000000005E-3</v>
      </c>
      <c r="F10" s="33"/>
      <c r="G10" s="33"/>
      <c r="H10" s="33"/>
      <c r="I10" s="33"/>
      <c r="J10" s="33"/>
      <c r="K10" s="33"/>
    </row>
    <row r="11" spans="1:11" x14ac:dyDescent="0.25">
      <c r="A11" s="140" t="s">
        <v>361</v>
      </c>
      <c r="B11" s="139">
        <f>CoilWidth_4</f>
        <v>42</v>
      </c>
      <c r="C11" s="33" t="s">
        <v>336</v>
      </c>
      <c r="D11" s="123" t="s">
        <v>360</v>
      </c>
      <c r="E11" s="138">
        <f>2*yield/(thk*modulus)</f>
        <v>3.4482758620689655E-2</v>
      </c>
      <c r="F11" s="33"/>
      <c r="G11" s="33"/>
      <c r="H11" s="33"/>
      <c r="I11" s="33"/>
      <c r="J11" s="33"/>
      <c r="K11" s="33"/>
    </row>
    <row r="12" spans="1:11" x14ac:dyDescent="0.25">
      <c r="A12" s="135" t="s">
        <v>359</v>
      </c>
      <c r="B12" s="137">
        <f>Thickness_4</f>
        <v>0.06</v>
      </c>
      <c r="C12" s="36" t="s">
        <v>336</v>
      </c>
      <c r="D12" s="136" t="s">
        <v>358</v>
      </c>
      <c r="E12" s="132">
        <f>1/curv_at_yld</f>
        <v>29</v>
      </c>
      <c r="F12" s="33" t="s">
        <v>357</v>
      </c>
      <c r="G12" s="33"/>
      <c r="H12" s="33"/>
      <c r="I12" s="33"/>
      <c r="J12" s="33"/>
      <c r="K12" s="33"/>
    </row>
    <row r="13" spans="1:11" x14ac:dyDescent="0.25">
      <c r="A13" s="135" t="s">
        <v>356</v>
      </c>
      <c r="B13" s="437">
        <f>YieldStrength_4</f>
        <v>30000</v>
      </c>
      <c r="C13" s="130" t="s">
        <v>11</v>
      </c>
      <c r="D13" s="133" t="s">
        <v>355</v>
      </c>
      <c r="E13" s="132">
        <f>width*yield*(thk^2)/6</f>
        <v>756</v>
      </c>
      <c r="F13" s="33" t="s">
        <v>354</v>
      </c>
      <c r="G13" s="33"/>
      <c r="H13" s="33"/>
      <c r="I13" s="33"/>
      <c r="J13" s="33"/>
      <c r="K13" s="33"/>
    </row>
    <row r="14" spans="1:11" ht="17.25" customHeight="1" x14ac:dyDescent="0.25">
      <c r="A14" s="131" t="s">
        <v>353</v>
      </c>
      <c r="B14" s="441" t="str">
        <f>Material_4</f>
        <v>HS Steel</v>
      </c>
      <c r="C14" s="130"/>
      <c r="D14" s="130"/>
      <c r="E14" s="129" t="str">
        <f>IF(E21&gt;0,"", "ROLLER TOO HIGH!")</f>
        <v/>
      </c>
      <c r="F14" s="33"/>
      <c r="G14" s="129" t="str">
        <f>IF(G21&gt;0,"", "ROLLER TOO HIGH!")</f>
        <v/>
      </c>
      <c r="H14" s="129"/>
      <c r="I14" s="129" t="str">
        <f>IF(I21&gt;0,"", "ROLLER TOO HIGH!")</f>
        <v/>
      </c>
      <c r="J14" s="33"/>
      <c r="K14" s="129" t="str">
        <f>IF(K21&gt;0,"", "ROLLER TOO HIGH!")</f>
        <v/>
      </c>
    </row>
    <row r="15" spans="1:11" ht="17.25" customHeight="1" thickBot="1" x14ac:dyDescent="0.3">
      <c r="A15" s="151" t="s">
        <v>965</v>
      </c>
      <c r="B15" s="441" t="str">
        <f>'Str. Utility (4)'!model</f>
        <v>CPPS-507</v>
      </c>
      <c r="C15" s="36"/>
      <c r="D15" s="33"/>
      <c r="E15" s="33"/>
      <c r="F15" s="33"/>
      <c r="G15" s="33"/>
      <c r="H15" s="33"/>
      <c r="I15" s="33"/>
      <c r="J15" s="33"/>
      <c r="K15" s="33"/>
    </row>
    <row r="16" spans="1:11" ht="15" customHeight="1" thickBot="1" x14ac:dyDescent="0.3">
      <c r="A16" s="68"/>
      <c r="B16" s="33"/>
      <c r="C16" s="36"/>
      <c r="D16" s="33"/>
      <c r="E16" s="152">
        <v>9549.0865921663462</v>
      </c>
      <c r="F16" s="33"/>
      <c r="G16" s="46"/>
      <c r="H16" s="46"/>
      <c r="I16" s="46"/>
      <c r="J16" s="33"/>
      <c r="K16" s="46"/>
    </row>
    <row r="17" spans="1:15" ht="15.75" thickBot="1" x14ac:dyDescent="0.3">
      <c r="A17" s="123"/>
      <c r="B17" s="33"/>
      <c r="C17" s="33"/>
      <c r="D17" s="122"/>
      <c r="E17" s="121" t="s">
        <v>351</v>
      </c>
      <c r="F17" s="119"/>
      <c r="G17" s="120" t="s">
        <v>350</v>
      </c>
      <c r="H17" s="120"/>
      <c r="I17" s="120" t="s">
        <v>350</v>
      </c>
      <c r="J17" s="119"/>
      <c r="K17" s="118" t="s">
        <v>349</v>
      </c>
      <c r="L17" s="33"/>
      <c r="M17" s="33"/>
      <c r="N17" s="33"/>
      <c r="O17" s="65"/>
    </row>
    <row r="18" spans="1:15" ht="21.75" customHeight="1" x14ac:dyDescent="0.25">
      <c r="A18" s="153" t="s">
        <v>348</v>
      </c>
      <c r="B18" s="116">
        <f>VLOOKUP($B$15,LookupStrModel,2,FALSE)</f>
        <v>5</v>
      </c>
      <c r="C18" s="71" t="s">
        <v>336</v>
      </c>
      <c r="D18" s="154" t="s">
        <v>370</v>
      </c>
      <c r="E18" s="114">
        <f>IF((E16-10000)/1000&lt;$B23, "TOO DEEP!", (E16-10000)/1000)</f>
        <v>-0.45091340783365375</v>
      </c>
      <c r="F18" s="112"/>
      <c r="G18" s="113">
        <f>E18+((K18-E18)/3)</f>
        <v>-0.28460893855576919</v>
      </c>
      <c r="H18" s="155"/>
      <c r="I18" s="113">
        <f>G18+((K18-E18)/3)</f>
        <v>-0.1183044692778846</v>
      </c>
      <c r="J18" s="112"/>
      <c r="K18" s="111">
        <f>thk*0.8</f>
        <v>4.8000000000000001E-2</v>
      </c>
      <c r="L18" s="33"/>
      <c r="M18" s="33"/>
      <c r="N18" s="33"/>
      <c r="O18" s="33"/>
    </row>
    <row r="19" spans="1:15" ht="25.5" x14ac:dyDescent="0.25">
      <c r="A19" s="131" t="s">
        <v>346</v>
      </c>
      <c r="B19" s="98">
        <f>VLOOKUP($B$15,LookupStrModel,3,FALSE)</f>
        <v>9</v>
      </c>
      <c r="C19" s="71" t="s">
        <v>336</v>
      </c>
      <c r="D19" s="156" t="s">
        <v>345</v>
      </c>
      <c r="E19" s="109">
        <f>(1.314-$D$31*thk+$D$32*E18)*((-0.25*cent_dist^2)-(E18^2)+(2*E18*thk)-thk^2)/(4*(E18+0.00000001)-4*thk)</f>
        <v>12.373295994793651</v>
      </c>
      <c r="F19" s="93">
        <f>-E19</f>
        <v>-12.373295994793651</v>
      </c>
      <c r="G19" s="93">
        <f>((-0.25*cent_dist^2)-(G$18^2)+(2*G$18*thk)-thk^2)/(4*(G$18+0.00000001)-4*thk)</f>
        <v>14.77671763025446</v>
      </c>
      <c r="H19" s="93">
        <f>-G19</f>
        <v>-14.77671763025446</v>
      </c>
      <c r="I19" s="93">
        <f>((-0.25*cent_dist^2)-(I$18^2)+(2*I$18*thk)-thk^2)/(4*(I$18+0.00000001)-4*thk)</f>
        <v>28.437023625073255</v>
      </c>
      <c r="J19" s="93">
        <f>-I19</f>
        <v>-28.437023625073255</v>
      </c>
      <c r="K19" s="108">
        <f>(1.314-$D$31*thk+$D$32*K18)*((-0.25*cent_dist^2)-(K18^2)+(2*K18*thk)-thk^2)/(4*(K18+0.00000001)-4*thk)</f>
        <v>557.99318291431928</v>
      </c>
      <c r="L19" s="33"/>
      <c r="M19" s="33"/>
      <c r="N19" s="33"/>
      <c r="O19" s="33"/>
    </row>
    <row r="20" spans="1:15" ht="25.5" x14ac:dyDescent="0.25">
      <c r="A20" s="131" t="s">
        <v>344</v>
      </c>
      <c r="B20" s="107">
        <f>VLOOKUP($B$14,LookupMaterial,3,FALSE)</f>
        <v>29000000</v>
      </c>
      <c r="C20" s="71" t="s">
        <v>11</v>
      </c>
      <c r="D20" s="157" t="s">
        <v>343</v>
      </c>
      <c r="E20" s="105" t="s">
        <v>277</v>
      </c>
      <c r="F20" s="104" t="s">
        <v>278</v>
      </c>
      <c r="G20" s="104" t="s">
        <v>277</v>
      </c>
      <c r="H20" s="104" t="s">
        <v>278</v>
      </c>
      <c r="I20" s="104" t="s">
        <v>277</v>
      </c>
      <c r="J20" s="104" t="s">
        <v>278</v>
      </c>
      <c r="K20" s="103" t="s">
        <v>277</v>
      </c>
      <c r="L20" s="33"/>
      <c r="M20" s="33"/>
      <c r="N20" s="33"/>
      <c r="O20" s="33"/>
    </row>
    <row r="21" spans="1:15" ht="27.75" customHeight="1" x14ac:dyDescent="0.25">
      <c r="A21" s="131" t="s">
        <v>342</v>
      </c>
      <c r="B21" s="158">
        <f>VLOOKUP($B$15,LookupStrModel,5,FALSE)</f>
        <v>60000</v>
      </c>
      <c r="C21" s="159" t="s">
        <v>341</v>
      </c>
      <c r="D21" s="156" t="s">
        <v>340</v>
      </c>
      <c r="E21" s="88">
        <f>1/E19-$E$10</f>
        <v>8.6319209402310679E-2</v>
      </c>
      <c r="F21" s="87">
        <f t="shared" ref="F21:K21" si="0">1/F19-1/E27</f>
        <v>-0.11266572756358964</v>
      </c>
      <c r="G21" s="87">
        <f t="shared" si="0"/>
        <v>9.8384173044744477E-2</v>
      </c>
      <c r="H21" s="87">
        <f t="shared" si="0"/>
        <v>-8.5741915640118821E-2</v>
      </c>
      <c r="I21" s="87">
        <f t="shared" si="0"/>
        <v>5.3903936112333156E-2</v>
      </c>
      <c r="J21" s="87">
        <f t="shared" si="0"/>
        <v>-2.5662328447490099E-2</v>
      </c>
      <c r="K21" s="86">
        <f t="shared" si="0"/>
        <v>1.129523238594774E-2</v>
      </c>
      <c r="L21" s="33"/>
      <c r="M21" s="33"/>
      <c r="N21" s="33"/>
      <c r="O21" s="33"/>
    </row>
    <row r="22" spans="1:15" ht="45" customHeight="1" x14ac:dyDescent="0.25">
      <c r="A22" s="160" t="s">
        <v>339</v>
      </c>
      <c r="B22" s="98">
        <f>VLOOKUP($B$15,LookupStrModel,6,FALSE)</f>
        <v>-1.25</v>
      </c>
      <c r="C22" s="71" t="s">
        <v>336</v>
      </c>
      <c r="D22" s="161" t="s">
        <v>338</v>
      </c>
      <c r="E22" s="94">
        <f t="shared" ref="E22:K22" si="1">IF(ABS(E21)&lt;curv_at_yld, (modulus*width*thk^3)/(12)*(E21), (ABS(E21)/E21)*1.5*My*(1-1/3*((curv_at_yld/E21)^2)))</f>
        <v>1073.677282768379</v>
      </c>
      <c r="F22" s="93">
        <f t="shared" si="1"/>
        <v>-1098.5911230317436</v>
      </c>
      <c r="G22" s="93">
        <f t="shared" si="1"/>
        <v>1087.5650133629597</v>
      </c>
      <c r="H22" s="93">
        <f t="shared" si="1"/>
        <v>-1072.8622517176034</v>
      </c>
      <c r="I22" s="93">
        <f t="shared" si="1"/>
        <v>979.31263334909318</v>
      </c>
      <c r="J22" s="93">
        <f t="shared" si="1"/>
        <v>-562.62088888277287</v>
      </c>
      <c r="K22" s="92">
        <f t="shared" si="1"/>
        <v>247.63667482951826</v>
      </c>
      <c r="L22" s="33"/>
      <c r="M22" s="33"/>
      <c r="N22" s="33"/>
      <c r="O22" s="33"/>
    </row>
    <row r="23" spans="1:15" ht="45" customHeight="1" thickBot="1" x14ac:dyDescent="0.3">
      <c r="A23" s="162" t="s">
        <v>337</v>
      </c>
      <c r="B23" s="163">
        <f>IF((B$18+thk)^2-(cent_dist/2)^2&lt;0, B22, IF(B$18-SQRT((B$18+thk)^2-(cent_dist/2)^2)&lt;-B22, -B$18+SQRT((B$18+thk)^2-(cent_dist/2)^2), B22))</f>
        <v>-1.25</v>
      </c>
      <c r="C23" s="71" t="s">
        <v>336</v>
      </c>
      <c r="D23" s="156" t="s">
        <v>335</v>
      </c>
      <c r="E23" s="88">
        <f t="shared" ref="E23:K23" si="2">E22/My</f>
        <v>1.4202080459899193</v>
      </c>
      <c r="F23" s="87">
        <f t="shared" si="2"/>
        <v>-1.4531628611531</v>
      </c>
      <c r="G23" s="87">
        <f t="shared" si="2"/>
        <v>1.4385780600039149</v>
      </c>
      <c r="H23" s="87">
        <f t="shared" si="2"/>
        <v>-1.4191299625894225</v>
      </c>
      <c r="I23" s="87">
        <f t="shared" si="2"/>
        <v>1.2953870811495942</v>
      </c>
      <c r="J23" s="87">
        <f t="shared" si="2"/>
        <v>-0.74420752497721276</v>
      </c>
      <c r="K23" s="86">
        <f t="shared" si="2"/>
        <v>0.32756173919248449</v>
      </c>
      <c r="L23" s="33"/>
      <c r="M23" s="33"/>
      <c r="N23" s="33"/>
      <c r="O23" s="33"/>
    </row>
    <row r="24" spans="1:15" ht="45" customHeight="1" thickBot="1" x14ac:dyDescent="0.3">
      <c r="A24" s="72"/>
      <c r="B24" s="71"/>
      <c r="C24" s="71"/>
      <c r="D24" s="156" t="s">
        <v>334</v>
      </c>
      <c r="E24" s="94">
        <f>E22*5.333/cent_dist</f>
        <v>636.21343877819618</v>
      </c>
      <c r="F24" s="93"/>
      <c r="G24" s="93">
        <f>G22*5.333/cent_dist</f>
        <v>644.4426906960739</v>
      </c>
      <c r="H24" s="93"/>
      <c r="I24" s="93">
        <f>I22*5.333/cent_dist</f>
        <v>580.29714151674602</v>
      </c>
      <c r="J24" s="93"/>
      <c r="K24" s="92">
        <f>K22*5.3333/cent_dist</f>
        <v>146.74674198536331</v>
      </c>
      <c r="L24" s="91" t="str">
        <f>IF(E24&gt;B21, "NOT ENOUGH FORCE!", IF(G24&gt;B21, "NOT ENOUGH FORCE!", IF(K24&gt;B21, "NOT ENOUGH FORCE!", "")))</f>
        <v/>
      </c>
      <c r="M24" s="33"/>
      <c r="N24" s="33"/>
      <c r="O24" s="33"/>
    </row>
    <row r="25" spans="1:15" ht="50.25" customHeight="1" x14ac:dyDescent="0.25">
      <c r="A25" s="90" t="s">
        <v>333</v>
      </c>
      <c r="B25" s="89">
        <f>-(1.5*rad_at_yld-thk-SQRT(ABS(((1.5*rad_at_yld)^2)-(cent_dist/2)^2)))</f>
        <v>-0.1733846944321229</v>
      </c>
      <c r="C25" s="81" t="str">
        <f>IF(B25&gt;B23, "OK", "WILL NOT STRAIGHTEN")</f>
        <v>OK</v>
      </c>
      <c r="D25" s="156" t="s">
        <v>332</v>
      </c>
      <c r="E25" s="88">
        <f t="shared" ref="E25:K25" si="3">-curv_at_yld*E23</f>
        <v>-4.89726912410317E-2</v>
      </c>
      <c r="F25" s="87">
        <f t="shared" si="3"/>
        <v>5.0109064177693105E-2</v>
      </c>
      <c r="G25" s="87">
        <f t="shared" si="3"/>
        <v>-4.9606140000134996E-2</v>
      </c>
      <c r="H25" s="87">
        <f t="shared" si="3"/>
        <v>4.8935515951359393E-2</v>
      </c>
      <c r="I25" s="87">
        <f t="shared" si="3"/>
        <v>-4.4668520039641182E-2</v>
      </c>
      <c r="J25" s="87">
        <f t="shared" si="3"/>
        <v>2.5662328447490095E-2</v>
      </c>
      <c r="K25" s="86">
        <f t="shared" si="3"/>
        <v>-1.1295232385947741E-2</v>
      </c>
      <c r="L25" s="33"/>
      <c r="M25" s="33"/>
      <c r="N25" s="33"/>
      <c r="O25" s="33"/>
    </row>
    <row r="26" spans="1:15" ht="51.75" customHeight="1" x14ac:dyDescent="0.25">
      <c r="A26" s="626" t="s">
        <v>371</v>
      </c>
      <c r="B26" s="627">
        <f>(16*yield*width*thk^2)/(15*cent_dist)</f>
        <v>537.6</v>
      </c>
      <c r="C26" s="81" t="str">
        <f>IF(B26&lt;B21, "OK", "NOT ENOUGH FORCE")</f>
        <v>OK</v>
      </c>
      <c r="D26" s="156" t="s">
        <v>330</v>
      </c>
      <c r="E26" s="84">
        <f t="shared" ref="E26:K26" si="4">IF(curv_at_yld&lt;ABS(E21),1-ABS(curv_at_yld/E21), "NONE")</f>
        <v>0.60052045356468953</v>
      </c>
      <c r="F26" s="83">
        <f t="shared" si="4"/>
        <v>0.69393746113939359</v>
      </c>
      <c r="G26" s="83">
        <f t="shared" si="4"/>
        <v>0.64950908714751177</v>
      </c>
      <c r="H26" s="83">
        <f t="shared" si="4"/>
        <v>0.59783078832268233</v>
      </c>
      <c r="I26" s="83">
        <f t="shared" si="4"/>
        <v>0.36029238108272321</v>
      </c>
      <c r="J26" s="83" t="str">
        <f t="shared" si="4"/>
        <v>NONE</v>
      </c>
      <c r="K26" s="82" t="str">
        <f t="shared" si="4"/>
        <v>NONE</v>
      </c>
      <c r="L26" s="33"/>
      <c r="M26" s="33"/>
      <c r="N26" s="33"/>
      <c r="O26" s="33"/>
    </row>
    <row r="27" spans="1:15" ht="51.75" customHeight="1" thickBot="1" x14ac:dyDescent="0.3">
      <c r="A27" s="624" t="s">
        <v>1119</v>
      </c>
      <c r="B27" s="628" t="str">
        <f>IF(AND(E26&gt;=BackbendMin, E26&lt;=BackbendMax), IF(AND(E26 &lt;= BackbendConfirm, B28=FALSE), BackbendNCText, BackbendOKText), BackbendNOText)</f>
        <v>OK</v>
      </c>
      <c r="C27" s="71"/>
      <c r="D27" s="164" t="s">
        <v>328</v>
      </c>
      <c r="E27" s="75">
        <f t="shared" ref="E27:J27" si="5">1/((1/E19)+E25)</f>
        <v>31.400606965437866</v>
      </c>
      <c r="F27" s="74">
        <f t="shared" si="5"/>
        <v>-32.562529180044052</v>
      </c>
      <c r="G27" s="74">
        <f t="shared" si="5"/>
        <v>55.346812530765845</v>
      </c>
      <c r="H27" s="74">
        <f t="shared" si="5"/>
        <v>-53.366030718093135</v>
      </c>
      <c r="I27" s="74">
        <f t="shared" si="5"/>
        <v>-105.2288666197563</v>
      </c>
      <c r="J27" s="74">
        <f t="shared" si="5"/>
        <v>-105.22886661975626</v>
      </c>
      <c r="K27" s="165">
        <f>IF(ABS((1/K19)+K25)&lt;0.00001, "FLAT", 1/((1/K19)+K25))</f>
        <v>-105.22886661975625</v>
      </c>
      <c r="L27" s="33"/>
      <c r="M27" s="33"/>
      <c r="N27" s="33"/>
      <c r="O27" s="33"/>
    </row>
    <row r="28" spans="1:15" ht="45" customHeight="1" x14ac:dyDescent="0.25">
      <c r="A28" s="72"/>
      <c r="B28" s="689" t="b">
        <v>0</v>
      </c>
      <c r="C28" s="71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</row>
    <row r="29" spans="1:15" x14ac:dyDescent="0.25">
      <c r="A29" s="33"/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</row>
    <row r="31" spans="1:15" hidden="1" x14ac:dyDescent="0.25">
      <c r="A31" s="33"/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</row>
    <row r="32" spans="1:15" hidden="1" x14ac:dyDescent="0.25">
      <c r="A32" s="46"/>
      <c r="B32" s="46"/>
      <c r="C32" s="46" t="s">
        <v>169</v>
      </c>
      <c r="D32" s="37">
        <f>VLOOKUP($B$15,LookupStrModel,7,FALSE)</f>
        <v>0.18</v>
      </c>
      <c r="E32" s="68" t="s">
        <v>327</v>
      </c>
      <c r="F32" s="67">
        <v>0.33</v>
      </c>
      <c r="G32" s="33">
        <f>E19/H33</f>
        <v>1.0623967940357308</v>
      </c>
      <c r="H32" s="33" t="s">
        <v>326</v>
      </c>
      <c r="I32" s="33" t="s">
        <v>293</v>
      </c>
      <c r="J32" s="33" t="s">
        <v>292</v>
      </c>
      <c r="K32" s="33" t="s">
        <v>291</v>
      </c>
      <c r="L32" s="33"/>
      <c r="M32" s="33"/>
      <c r="N32" s="33"/>
      <c r="O32" s="33"/>
    </row>
    <row r="33" spans="1:13" hidden="1" x14ac:dyDescent="0.25">
      <c r="A33" s="46"/>
      <c r="B33" s="46"/>
      <c r="C33" s="46" t="s">
        <v>166</v>
      </c>
      <c r="D33" s="37">
        <f>VLOOKUP($B$15,LookupStrModel,8,FALSE)</f>
        <v>0.18</v>
      </c>
      <c r="E33" s="33"/>
      <c r="F33" s="33"/>
      <c r="G33" s="33"/>
      <c r="H33" s="65">
        <f>rad_at_yld/2.49</f>
        <v>11.646586345381525</v>
      </c>
      <c r="I33" s="65">
        <f>H33-(SQRT(((H33+(thk/4))^2)-((cent_dist/4)^2)))</f>
        <v>0.20411737706927369</v>
      </c>
      <c r="J33" s="65">
        <f>ABS(I33)*-2 * 1.07</f>
        <v>-0.43681118692824572</v>
      </c>
      <c r="K33" s="65">
        <f>10000+(L41*1000)</f>
        <v>9549.0865921663462</v>
      </c>
      <c r="L33" s="33">
        <f>10000+(B22*1000)</f>
        <v>8750</v>
      </c>
      <c r="M33" s="33">
        <f>IF(K33&gt;L33,K33,L33)</f>
        <v>9549.0865921663462</v>
      </c>
    </row>
    <row r="34" spans="1:13" hidden="1" x14ac:dyDescent="0.25">
      <c r="A34" s="46"/>
      <c r="B34" s="46"/>
      <c r="C34" s="33"/>
      <c r="D34" s="33"/>
      <c r="E34" s="33"/>
      <c r="F34" s="33"/>
      <c r="G34" s="33"/>
      <c r="H34" s="33"/>
      <c r="I34" s="65">
        <f>H33-(SQRT(((H33+(thk/4))*((H33+(thk/4)))-(((cent_dist/4)*(cent_dist/4))))))</f>
        <v>0.20411737706927369</v>
      </c>
      <c r="J34" s="33"/>
      <c r="K34" s="33"/>
      <c r="L34" s="33"/>
      <c r="M34" s="33"/>
    </row>
    <row r="35" spans="1:13" hidden="1" x14ac:dyDescent="0.25">
      <c r="A35" s="46"/>
      <c r="B35" s="46"/>
      <c r="C35" s="33"/>
      <c r="D35" s="33"/>
      <c r="E35" s="33"/>
      <c r="F35" s="33"/>
      <c r="G35" s="33"/>
      <c r="H35" s="33"/>
      <c r="I35" s="65">
        <f>(SQRT(((H33+(thk/4))*((H33+(thk/4)))-(((cent_dist/4)*(cent_dist/4))))))</f>
        <v>11.442468968312252</v>
      </c>
      <c r="J35" s="65">
        <f>I35-H33</f>
        <v>-0.20411737706927369</v>
      </c>
      <c r="K35" s="33"/>
      <c r="L35" s="33"/>
      <c r="M35" s="33"/>
    </row>
    <row r="36" spans="1:13" hidden="1" x14ac:dyDescent="0.25">
      <c r="A36" s="46"/>
      <c r="B36" s="46"/>
      <c r="C36" s="33"/>
      <c r="D36" s="33"/>
      <c r="E36" s="33"/>
      <c r="F36" s="33"/>
      <c r="G36" s="33"/>
      <c r="H36" s="33"/>
      <c r="I36" s="33">
        <v>4</v>
      </c>
      <c r="J36" s="33">
        <v>8</v>
      </c>
      <c r="K36" s="33">
        <v>2</v>
      </c>
      <c r="L36" s="33">
        <v>3</v>
      </c>
      <c r="M36" s="33"/>
    </row>
    <row r="37" spans="1:13" hidden="1" x14ac:dyDescent="0.25">
      <c r="A37" s="46"/>
      <c r="B37" s="46"/>
      <c r="C37" s="33"/>
      <c r="D37" s="33"/>
      <c r="E37" s="33"/>
      <c r="F37" s="33"/>
      <c r="G37" s="33"/>
      <c r="H37" s="33" t="s">
        <v>276</v>
      </c>
      <c r="I37" s="65">
        <f>SQRT(((I39)^2)-((I38)^2))</f>
        <v>11.42718134538992</v>
      </c>
      <c r="J37" s="65">
        <f>SQRT(((J39)^2)-((J38)^2))</f>
        <v>11.592124417052613</v>
      </c>
      <c r="K37" s="65">
        <f>SQRT(((K39)^2)-((K38)^2))</f>
        <v>10.742112152664735</v>
      </c>
      <c r="L37" s="65">
        <f>SQRT(((L39)^2)-((L38)^2))</f>
        <v>11.25357603166333</v>
      </c>
      <c r="M37" s="33"/>
    </row>
    <row r="38" spans="1:13" hidden="1" x14ac:dyDescent="0.25">
      <c r="A38" s="33"/>
      <c r="B38" s="46"/>
      <c r="C38" s="33"/>
      <c r="D38" s="33"/>
      <c r="E38" s="33"/>
      <c r="F38" s="33"/>
      <c r="G38" s="33"/>
      <c r="H38" s="33" t="s">
        <v>271</v>
      </c>
      <c r="I38" s="65">
        <f>cent_dist/4</f>
        <v>2.25</v>
      </c>
      <c r="J38" s="65">
        <f>cent_dist/8</f>
        <v>1.125</v>
      </c>
      <c r="K38" s="65">
        <f>cent_dist/2</f>
        <v>4.5</v>
      </c>
      <c r="L38" s="65">
        <f>cent_dist/3</f>
        <v>3</v>
      </c>
      <c r="M38" s="33"/>
    </row>
    <row r="39" spans="1:13" hidden="1" x14ac:dyDescent="0.25">
      <c r="A39" s="33"/>
      <c r="B39" s="46"/>
      <c r="C39" s="33"/>
      <c r="D39" s="33"/>
      <c r="E39" s="33"/>
      <c r="F39" s="33"/>
      <c r="G39" s="33"/>
      <c r="H39" s="33" t="s">
        <v>325</v>
      </c>
      <c r="I39" s="65">
        <f>H33</f>
        <v>11.646586345381525</v>
      </c>
      <c r="J39" s="65">
        <f>H33</f>
        <v>11.646586345381525</v>
      </c>
      <c r="K39" s="65">
        <f>H33</f>
        <v>11.646586345381525</v>
      </c>
      <c r="L39" s="65">
        <f>H33</f>
        <v>11.646586345381525</v>
      </c>
      <c r="M39" s="33"/>
    </row>
    <row r="40" spans="1:13" hidden="1" x14ac:dyDescent="0.25">
      <c r="A40" s="33"/>
      <c r="B40" s="46"/>
      <c r="C40" s="33"/>
      <c r="D40" s="33"/>
      <c r="E40" s="33"/>
      <c r="F40" s="33"/>
      <c r="G40" s="33"/>
      <c r="H40" s="33" t="s">
        <v>324</v>
      </c>
      <c r="I40" s="65">
        <f>(I39-I37) *2</f>
        <v>0.43880999998321002</v>
      </c>
      <c r="J40" s="65">
        <f>(J39-J37) *4</f>
        <v>0.21784771331564912</v>
      </c>
      <c r="K40" s="65">
        <f>(K39-K37) *1</f>
        <v>0.90447419271679053</v>
      </c>
      <c r="L40" s="65">
        <f>(L39-L37) *1.3</f>
        <v>0.51091340783365335</v>
      </c>
      <c r="M40" s="33"/>
    </row>
    <row r="41" spans="1:13" hidden="1" x14ac:dyDescent="0.25">
      <c r="A41" s="33"/>
      <c r="B41" s="46"/>
      <c r="C41" s="33"/>
      <c r="D41" s="33"/>
      <c r="E41" s="33"/>
      <c r="F41" s="33"/>
      <c r="G41" s="33"/>
      <c r="H41" s="33" t="s">
        <v>263</v>
      </c>
      <c r="I41" s="65">
        <f>thk-I40</f>
        <v>-0.37880999998321002</v>
      </c>
      <c r="J41" s="65">
        <f>thk-J40</f>
        <v>-0.15784771331564912</v>
      </c>
      <c r="K41" s="65">
        <f>thk-K40</f>
        <v>-0.84447419271679047</v>
      </c>
      <c r="L41" s="65">
        <f>thk-L40</f>
        <v>-0.45091340783365336</v>
      </c>
      <c r="M41" s="33"/>
    </row>
    <row r="42" spans="1:13" hidden="1" x14ac:dyDescent="0.25">
      <c r="A42" s="33"/>
      <c r="B42" s="46"/>
      <c r="C42" s="33"/>
      <c r="D42" s="33"/>
      <c r="E42" s="33"/>
      <c r="F42" s="33"/>
      <c r="G42" s="33"/>
      <c r="H42" s="66">
        <f>E19</f>
        <v>12.373295994793651</v>
      </c>
      <c r="I42" s="65">
        <f>H42-(SQRT(((H42+(thk/4))^2)-((cent_dist/4)^2)))</f>
        <v>0.19103932147485025</v>
      </c>
      <c r="J42" s="65">
        <f>ABS(I42)*-2</f>
        <v>-0.38207864294970051</v>
      </c>
      <c r="K42" s="33"/>
      <c r="L42" s="33"/>
      <c r="M42" s="33"/>
    </row>
    <row r="43" spans="1:13" hidden="1" x14ac:dyDescent="0.25">
      <c r="A43" s="33"/>
      <c r="B43" s="46"/>
      <c r="C43" s="33"/>
      <c r="D43" s="33"/>
      <c r="E43" s="33"/>
      <c r="F43" s="33"/>
      <c r="G43" s="33"/>
      <c r="H43" s="33"/>
      <c r="I43" s="33"/>
      <c r="J43" s="65">
        <f>E18/J42</f>
        <v>1.1801586300467863</v>
      </c>
      <c r="K43" s="33"/>
      <c r="L43" s="33"/>
      <c r="M43" s="33"/>
    </row>
    <row r="44" spans="1:13" hidden="1" x14ac:dyDescent="0.25">
      <c r="A44" s="33"/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 t="s">
        <v>323</v>
      </c>
      <c r="M44" s="33"/>
    </row>
    <row r="45" spans="1:13" hidden="1" x14ac:dyDescent="0.25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 t="s">
        <v>322</v>
      </c>
      <c r="M45" s="33"/>
    </row>
    <row r="46" spans="1:13" hidden="1" x14ac:dyDescent="0.25">
      <c r="A46" s="33"/>
      <c r="B46" s="46"/>
      <c r="C46" s="33"/>
      <c r="D46" s="33"/>
      <c r="E46" s="33"/>
      <c r="F46" s="33"/>
      <c r="G46" s="33"/>
      <c r="H46" s="33"/>
      <c r="I46" s="33"/>
      <c r="J46" s="33"/>
      <c r="K46" s="33"/>
      <c r="L46" s="33" t="s">
        <v>321</v>
      </c>
      <c r="M46" s="33"/>
    </row>
    <row r="47" spans="1:13" hidden="1" x14ac:dyDescent="0.25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 t="s">
        <v>320</v>
      </c>
      <c r="M47" s="33"/>
    </row>
    <row r="48" spans="1:13" hidden="1" x14ac:dyDescent="0.25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 t="s">
        <v>319</v>
      </c>
      <c r="M48" s="33"/>
    </row>
    <row r="49" spans="1:7" hidden="1" x14ac:dyDescent="0.25">
      <c r="A49" s="33"/>
      <c r="B49" s="33"/>
      <c r="C49" s="33"/>
      <c r="D49" s="33"/>
      <c r="E49" s="33"/>
      <c r="F49" s="33"/>
      <c r="G49" s="33"/>
    </row>
    <row r="50" spans="1:7" x14ac:dyDescent="0.25">
      <c r="A50" s="33"/>
      <c r="B50" s="33"/>
      <c r="C50" s="33"/>
      <c r="D50" s="33"/>
      <c r="E50" s="33"/>
      <c r="F50" s="33"/>
      <c r="G50" s="33"/>
    </row>
    <row r="51" spans="1:7" x14ac:dyDescent="0.25">
      <c r="A51" s="33"/>
      <c r="B51" s="33"/>
      <c r="C51" s="33"/>
      <c r="D51" s="33"/>
      <c r="E51" s="33"/>
      <c r="F51" s="33"/>
      <c r="G51" s="33"/>
    </row>
    <row r="52" spans="1:7" x14ac:dyDescent="0.25">
      <c r="A52" s="33"/>
      <c r="B52" s="33"/>
      <c r="C52" s="33"/>
      <c r="D52" s="33"/>
      <c r="E52" s="33"/>
      <c r="F52" s="33"/>
      <c r="G52" s="33"/>
    </row>
    <row r="53" spans="1:7" x14ac:dyDescent="0.25">
      <c r="A53" s="33"/>
      <c r="B53" s="33"/>
      <c r="C53" s="33"/>
      <c r="D53" s="33"/>
      <c r="E53" s="33"/>
      <c r="F53" s="33"/>
      <c r="G53" s="33"/>
    </row>
    <row r="54" spans="1:7" x14ac:dyDescent="0.25">
      <c r="A54" s="33"/>
      <c r="B54" s="33"/>
      <c r="C54" s="33"/>
      <c r="D54" s="33"/>
      <c r="E54" s="33"/>
      <c r="F54" s="33"/>
      <c r="G54" s="33"/>
    </row>
    <row r="55" spans="1:7" x14ac:dyDescent="0.25">
      <c r="A55" s="33"/>
      <c r="B55" s="33"/>
      <c r="C55" s="33"/>
      <c r="D55" s="33"/>
      <c r="E55" s="33"/>
      <c r="F55" s="33"/>
      <c r="G55" s="33"/>
    </row>
    <row r="56" spans="1:7" x14ac:dyDescent="0.25">
      <c r="A56" s="33"/>
      <c r="B56" s="33"/>
      <c r="C56" s="33"/>
      <c r="D56" s="33"/>
      <c r="E56" s="33"/>
      <c r="F56" s="33"/>
      <c r="G56" s="33"/>
    </row>
    <row r="57" spans="1:7" x14ac:dyDescent="0.25">
      <c r="A57" s="35"/>
      <c r="B57" s="36"/>
      <c r="C57" s="36"/>
      <c r="D57" s="33"/>
      <c r="E57" s="36"/>
      <c r="F57" s="36"/>
      <c r="G57" s="33"/>
    </row>
    <row r="58" spans="1:7" x14ac:dyDescent="0.25">
      <c r="A58" s="35"/>
      <c r="B58" s="36"/>
      <c r="C58" s="36"/>
      <c r="D58" s="33"/>
      <c r="E58" s="36"/>
      <c r="F58" s="36"/>
      <c r="G58" s="36"/>
    </row>
    <row r="59" spans="1:7" x14ac:dyDescent="0.25">
      <c r="A59" s="35"/>
      <c r="B59" s="36"/>
      <c r="C59" s="36"/>
      <c r="D59" s="33"/>
      <c r="E59" s="36"/>
      <c r="F59" s="36"/>
      <c r="G59" s="36"/>
    </row>
    <row r="60" spans="1:7" x14ac:dyDescent="0.25">
      <c r="A60" s="35"/>
      <c r="B60" s="36"/>
      <c r="C60" s="36"/>
      <c r="D60" s="33"/>
      <c r="E60" s="36"/>
      <c r="F60" s="36"/>
      <c r="G60" s="36"/>
    </row>
    <row r="61" spans="1:7" x14ac:dyDescent="0.25">
      <c r="A61" s="35"/>
      <c r="B61" s="36"/>
      <c r="C61" s="36"/>
      <c r="D61" s="33"/>
      <c r="E61" s="36"/>
      <c r="F61" s="36"/>
      <c r="G61" s="36"/>
    </row>
    <row r="62" spans="1:7" x14ac:dyDescent="0.25">
      <c r="A62" s="35"/>
      <c r="B62" s="36"/>
      <c r="C62" s="36"/>
      <c r="D62" s="33"/>
      <c r="E62" s="36"/>
      <c r="F62" s="36"/>
      <c r="G62" s="36"/>
    </row>
    <row r="63" spans="1:7" x14ac:dyDescent="0.25">
      <c r="A63" s="35"/>
      <c r="B63" s="36"/>
      <c r="C63" s="36"/>
      <c r="D63" s="33"/>
      <c r="E63" s="36"/>
      <c r="F63" s="36"/>
      <c r="G63" s="36"/>
    </row>
    <row r="64" spans="1:7" x14ac:dyDescent="0.25">
      <c r="A64" s="35"/>
      <c r="B64" s="36"/>
      <c r="C64" s="36"/>
      <c r="D64" s="33"/>
      <c r="E64" s="36"/>
      <c r="F64" s="33"/>
      <c r="G64" s="33"/>
    </row>
    <row r="65" spans="1:7" x14ac:dyDescent="0.25">
      <c r="A65" s="35"/>
      <c r="B65" s="36"/>
      <c r="C65" s="36"/>
      <c r="D65" s="33"/>
      <c r="E65" s="36"/>
      <c r="F65" s="36"/>
      <c r="G65" s="36"/>
    </row>
    <row r="66" spans="1:7" x14ac:dyDescent="0.25">
      <c r="A66" s="33"/>
      <c r="B66" s="33"/>
      <c r="C66" s="33"/>
      <c r="D66" s="33"/>
      <c r="E66" s="33"/>
      <c r="F66" s="33"/>
      <c r="G66" s="33"/>
    </row>
    <row r="67" spans="1:7" x14ac:dyDescent="0.25">
      <c r="A67" s="33"/>
      <c r="B67" s="33"/>
      <c r="C67" s="33"/>
      <c r="D67" s="33"/>
      <c r="E67" s="33"/>
      <c r="F67" s="33"/>
      <c r="G67" s="33"/>
    </row>
    <row r="68" spans="1:7" x14ac:dyDescent="0.25">
      <c r="A68" s="33"/>
      <c r="B68" s="33"/>
      <c r="C68" s="33"/>
      <c r="D68" s="33"/>
      <c r="E68" s="33"/>
      <c r="F68" s="33"/>
      <c r="G68" s="33"/>
    </row>
    <row r="69" spans="1:7" x14ac:dyDescent="0.25">
      <c r="A69" s="33"/>
      <c r="B69" s="33"/>
      <c r="C69" s="33"/>
      <c r="D69" s="33"/>
      <c r="E69" s="33"/>
      <c r="F69" s="33"/>
      <c r="G69" s="33"/>
    </row>
    <row r="70" spans="1:7" x14ac:dyDescent="0.25">
      <c r="A70" s="33"/>
      <c r="B70" s="33"/>
      <c r="C70" s="33"/>
      <c r="D70" s="33"/>
      <c r="E70" s="33"/>
      <c r="F70" s="33"/>
      <c r="G70" s="33"/>
    </row>
    <row r="71" spans="1:7" x14ac:dyDescent="0.25">
      <c r="A71" s="33"/>
      <c r="B71" s="33"/>
      <c r="C71" s="33"/>
      <c r="D71" s="33"/>
      <c r="E71" s="33"/>
      <c r="F71" s="33"/>
      <c r="G71" s="33"/>
    </row>
    <row r="72" spans="1:7" x14ac:dyDescent="0.25">
      <c r="A72" s="33"/>
      <c r="B72" s="33"/>
      <c r="C72" s="33"/>
      <c r="D72" s="33"/>
      <c r="E72" s="33"/>
      <c r="F72" s="33"/>
      <c r="G72" s="33"/>
    </row>
    <row r="73" spans="1:7" x14ac:dyDescent="0.25">
      <c r="A73" s="33"/>
      <c r="B73" s="33"/>
      <c r="C73" s="33"/>
      <c r="D73" s="33"/>
      <c r="E73" s="33"/>
      <c r="F73" s="33"/>
      <c r="G73" s="33"/>
    </row>
    <row r="74" spans="1:7" x14ac:dyDescent="0.25">
      <c r="A74" s="33"/>
      <c r="B74" s="33"/>
      <c r="C74" s="33"/>
      <c r="D74" s="33"/>
      <c r="E74" s="33"/>
      <c r="F74" s="33"/>
      <c r="G74" s="33"/>
    </row>
    <row r="75" spans="1:7" x14ac:dyDescent="0.25">
      <c r="A75" s="33"/>
      <c r="B75" s="33"/>
      <c r="C75" s="33"/>
      <c r="D75" s="33"/>
      <c r="E75" s="33"/>
      <c r="F75" s="33"/>
      <c r="G75" s="33"/>
    </row>
    <row r="76" spans="1:7" x14ac:dyDescent="0.25">
      <c r="A76" s="33"/>
      <c r="B76" s="33"/>
      <c r="C76" s="33"/>
      <c r="D76" s="33"/>
      <c r="E76" s="33"/>
      <c r="F76" s="33"/>
      <c r="G76" s="33"/>
    </row>
    <row r="77" spans="1:7" x14ac:dyDescent="0.25">
      <c r="A77" s="33"/>
      <c r="B77" s="33"/>
      <c r="C77" s="33"/>
      <c r="D77" s="33"/>
      <c r="E77" s="33"/>
      <c r="F77" s="33"/>
      <c r="G77" s="33"/>
    </row>
    <row r="78" spans="1:7" x14ac:dyDescent="0.25">
      <c r="A78" s="33"/>
      <c r="B78" s="33"/>
      <c r="C78" s="33"/>
      <c r="D78" s="33"/>
      <c r="E78" s="33"/>
      <c r="F78" s="33"/>
      <c r="G78" s="33"/>
    </row>
    <row r="79" spans="1:7" x14ac:dyDescent="0.25">
      <c r="A79" s="33"/>
      <c r="B79" s="33"/>
      <c r="C79" s="33"/>
      <c r="D79" s="33"/>
      <c r="E79" s="33"/>
      <c r="F79" s="33"/>
      <c r="G79" s="33"/>
    </row>
    <row r="80" spans="1:7" x14ac:dyDescent="0.25">
      <c r="A80" s="35"/>
      <c r="B80" s="36"/>
      <c r="C80" s="36"/>
      <c r="D80" s="33"/>
      <c r="E80" s="36"/>
      <c r="F80" s="36"/>
      <c r="G80" s="36"/>
    </row>
    <row r="81" spans="1:7" x14ac:dyDescent="0.25">
      <c r="A81" s="35"/>
      <c r="B81" s="36"/>
      <c r="C81" s="36"/>
      <c r="D81" s="33"/>
      <c r="E81" s="36"/>
      <c r="F81" s="36"/>
      <c r="G81" s="36"/>
    </row>
    <row r="82" spans="1:7" x14ac:dyDescent="0.25">
      <c r="A82" s="35"/>
      <c r="B82" s="36"/>
      <c r="C82" s="36"/>
      <c r="D82" s="33"/>
      <c r="E82" s="36"/>
      <c r="F82" s="36"/>
      <c r="G82" s="36"/>
    </row>
    <row r="83" spans="1:7" x14ac:dyDescent="0.25">
      <c r="A83" s="35"/>
      <c r="B83" s="36"/>
      <c r="C83" s="36"/>
      <c r="D83" s="33"/>
      <c r="E83" s="36"/>
      <c r="F83" s="36"/>
      <c r="G83" s="36"/>
    </row>
    <row r="84" spans="1:7" x14ac:dyDescent="0.25">
      <c r="A84" s="35"/>
      <c r="B84" s="36"/>
      <c r="C84" s="36"/>
      <c r="D84" s="33"/>
      <c r="E84" s="36"/>
      <c r="F84" s="36"/>
      <c r="G84" s="36"/>
    </row>
    <row r="85" spans="1:7" x14ac:dyDescent="0.25">
      <c r="A85" s="35"/>
      <c r="B85" s="36"/>
      <c r="C85" s="36"/>
      <c r="D85" s="33"/>
      <c r="E85" s="36"/>
      <c r="F85" s="36"/>
      <c r="G85" s="36"/>
    </row>
    <row r="86" spans="1:7" x14ac:dyDescent="0.25">
      <c r="A86" s="33"/>
      <c r="B86" s="33"/>
      <c r="C86" s="33"/>
      <c r="D86" s="33"/>
      <c r="E86" s="33"/>
      <c r="F86" s="33"/>
      <c r="G86" s="33"/>
    </row>
    <row r="87" spans="1:7" x14ac:dyDescent="0.25">
      <c r="A87" s="33"/>
      <c r="B87" s="33"/>
      <c r="C87" s="33"/>
      <c r="D87" s="33"/>
      <c r="E87" s="33"/>
      <c r="F87" s="33"/>
      <c r="G87" s="33"/>
    </row>
  </sheetData>
  <sheetProtection algorithmName="SHA-512" hashValue="IP5PPJlYcyXVzeK/VDUqVGTvSfC63i3pn0tPQgR33oaERDCYZFYTNuICqjpJJd7uu7CmTpwj59Hjd2igfaHVRA==" saltValue="HVVBZPCpqaFNqG5M7/liNw==" spinCount="100000" sheet="1" objects="1" scenarios="1"/>
  <mergeCells count="3">
    <mergeCell ref="B4:F4"/>
    <mergeCell ref="B5:F5"/>
    <mergeCell ref="B6:F6"/>
  </mergeCells>
  <conditionalFormatting sqref="E18 K18 G18:I18">
    <cfRule type="cellIs" dxfId="88" priority="4" stopIfTrue="1" operator="notBetween">
      <formula>$B$23</formula>
      <formula>1.25*thk</formula>
    </cfRule>
  </conditionalFormatting>
  <conditionalFormatting sqref="E24 K24 G24 I24">
    <cfRule type="cellIs" dxfId="87" priority="5" stopIfTrue="1" operator="greaterThan">
      <formula>$B$21</formula>
    </cfRule>
  </conditionalFormatting>
  <conditionalFormatting sqref="E14 K14 G14:I14">
    <cfRule type="cellIs" dxfId="86" priority="6" stopIfTrue="1" operator="equal">
      <formula>"ROLLER TOO HIGH!"</formula>
    </cfRule>
  </conditionalFormatting>
  <conditionalFormatting sqref="L24">
    <cfRule type="cellIs" dxfId="85" priority="7" stopIfTrue="1" operator="equal">
      <formula>"NOT ENOUGH FORCE!"</formula>
    </cfRule>
  </conditionalFormatting>
  <conditionalFormatting sqref="C25">
    <cfRule type="cellIs" dxfId="84" priority="8" stopIfTrue="1" operator="equal">
      <formula>"WILL NOT STRAIGHTEN"</formula>
    </cfRule>
    <cfRule type="cellIs" dxfId="83" priority="9" stopIfTrue="1" operator="equal">
      <formula>"OK"</formula>
    </cfRule>
  </conditionalFormatting>
  <conditionalFormatting sqref="C26">
    <cfRule type="cellIs" dxfId="82" priority="10" stopIfTrue="1" operator="equal">
      <formula>"NOT ENOUGH FORCE"</formula>
    </cfRule>
    <cfRule type="cellIs" dxfId="81" priority="11" stopIfTrue="1" operator="equal">
      <formula>"OK"</formula>
    </cfRule>
  </conditionalFormatting>
  <conditionalFormatting sqref="E26">
    <cfRule type="cellIs" dxfId="80" priority="1" operator="between">
      <formula>47%</formula>
      <formula>70%</formula>
    </cfRule>
    <cfRule type="cellIs" dxfId="79" priority="2" operator="greaterThan">
      <formula>70%</formula>
    </cfRule>
    <cfRule type="cellIs" dxfId="78" priority="3" operator="lessThan">
      <formula>47%</formula>
    </cfRule>
  </conditionalFormatting>
  <dataValidations count="1">
    <dataValidation errorTitle="Roller Depth too great" error="You have engaged the rollers too far." sqref="K18 E18 G18:I18" xr:uid="{6EEC0284-386F-4B93-8849-8FE62DD27526}"/>
  </dataValidations>
  <pageMargins left="0.75" right="0.75" top="1" bottom="1" header="0.5" footer="0.5"/>
  <pageSetup scale="68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31426" r:id="rId4" name="CommandButton1">
          <controlPr defaultSize="0" autoLine="0" r:id="rId5">
            <anchor moveWithCells="1">
              <from>
                <xdr:col>3</xdr:col>
                <xdr:colOff>19050</xdr:colOff>
                <xdr:row>14</xdr:row>
                <xdr:rowOff>9525</xdr:rowOff>
              </from>
              <to>
                <xdr:col>3</xdr:col>
                <xdr:colOff>628650</xdr:colOff>
                <xdr:row>15</xdr:row>
                <xdr:rowOff>19050</xdr:rowOff>
              </to>
            </anchor>
          </controlPr>
        </control>
      </mc:Choice>
      <mc:Fallback>
        <control shapeId="231426" r:id="rId4" name="CommandButton1"/>
      </mc:Fallback>
    </mc:AlternateContent>
    <mc:AlternateContent xmlns:mc="http://schemas.openxmlformats.org/markup-compatibility/2006">
      <mc:Choice Requires="x14">
        <control shapeId="231425" r:id="rId6" name="Spinner 1">
          <controlPr defaultSize="0" autoPict="0">
            <anchor moveWithCells="1" sizeWithCells="1">
              <from>
                <xdr:col>4</xdr:col>
                <xdr:colOff>0</xdr:colOff>
                <xdr:row>13</xdr:row>
                <xdr:rowOff>219075</xdr:rowOff>
              </from>
              <to>
                <xdr:col>4</xdr:col>
                <xdr:colOff>971550</xdr:colOff>
                <xdr:row>15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1427" r:id="rId7" name="Button 3">
          <controlPr defaultSize="0" print="0" autoFill="0" autoPict="0" macro="[0]!Tbl_Contents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142875</xdr:colOff>
                <xdr:row>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1435" r:id="rId8" name="Check Box 11">
          <controlPr defaultSize="0" autoFill="0" autoLine="0" autoPict="0" altText="Confirmed">
            <anchor moveWithCells="1">
              <from>
                <xdr:col>1</xdr:col>
                <xdr:colOff>104775</xdr:colOff>
                <xdr:row>27</xdr:row>
                <xdr:rowOff>152400</xdr:rowOff>
              </from>
              <to>
                <xdr:col>1</xdr:col>
                <xdr:colOff>847725</xdr:colOff>
                <xdr:row>27</xdr:row>
                <xdr:rowOff>466725</xdr:rowOff>
              </to>
            </anchor>
          </controlPr>
        </control>
      </mc:Choice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FBC71-B4EA-40F9-A70F-F47264265518}">
  <sheetPr codeName="Sheet16">
    <tabColor rgb="FF66FFFF"/>
    <pageSetUpPr fitToPage="1"/>
  </sheetPr>
  <dimension ref="A1:Q80"/>
  <sheetViews>
    <sheetView zoomScale="85" zoomScaleNormal="85" workbookViewId="0">
      <selection activeCell="O23" sqref="O23"/>
    </sheetView>
  </sheetViews>
  <sheetFormatPr defaultRowHeight="15" x14ac:dyDescent="0.25"/>
  <cols>
    <col min="1" max="1" width="21.5703125" customWidth="1"/>
    <col min="2" max="2" width="15.5703125" customWidth="1"/>
    <col min="3" max="4" width="15.140625" customWidth="1"/>
    <col min="5" max="5" width="14.7109375" customWidth="1"/>
    <col min="6" max="6" width="13" customWidth="1"/>
    <col min="7" max="9" width="14.140625" customWidth="1"/>
    <col min="10" max="12" width="12.42578125" customWidth="1"/>
    <col min="13" max="13" width="14.140625" customWidth="1"/>
    <col min="14" max="14" width="12.7109375" customWidth="1"/>
  </cols>
  <sheetData>
    <row r="1" spans="1:13" ht="15.75" x14ac:dyDescent="0.25">
      <c r="A1" s="33"/>
      <c r="B1" s="33"/>
      <c r="C1" s="999" t="s">
        <v>0</v>
      </c>
      <c r="D1" s="999"/>
      <c r="E1" s="999"/>
      <c r="F1" s="999"/>
      <c r="G1" s="33"/>
      <c r="H1" s="33"/>
      <c r="I1" s="33"/>
      <c r="J1" s="33"/>
      <c r="K1" s="33"/>
      <c r="L1" s="33"/>
      <c r="M1" s="33"/>
    </row>
    <row r="2" spans="1:13" x14ac:dyDescent="0.25">
      <c r="A2" s="33"/>
      <c r="B2" s="33"/>
      <c r="C2" s="1000" t="s">
        <v>372</v>
      </c>
      <c r="D2" s="1000"/>
      <c r="E2" s="1000"/>
      <c r="F2" s="1000"/>
      <c r="G2" s="33"/>
      <c r="H2" s="33"/>
      <c r="I2" s="33"/>
      <c r="J2" s="33"/>
      <c r="K2" s="33"/>
      <c r="L2" s="33"/>
      <c r="M2" s="33"/>
    </row>
    <row r="4" spans="1:13" x14ac:dyDescent="0.25">
      <c r="A4" s="143" t="s">
        <v>1</v>
      </c>
      <c r="B4" s="1001" t="str">
        <f>Customer</f>
        <v>ULTRATECH TOOL&amp; DESIGN, INC.</v>
      </c>
      <c r="C4" s="1001"/>
      <c r="D4" s="1001"/>
      <c r="E4" s="1001"/>
      <c r="F4" s="33"/>
      <c r="G4" s="33"/>
      <c r="H4" s="33"/>
      <c r="I4" s="33"/>
      <c r="J4" s="33"/>
      <c r="K4" s="33"/>
      <c r="L4" s="33"/>
      <c r="M4" s="33"/>
    </row>
    <row r="5" spans="1:13" x14ac:dyDescent="0.25">
      <c r="A5" s="143" t="s">
        <v>2</v>
      </c>
      <c r="B5" s="1002">
        <f>CalcDate</f>
        <v>0</v>
      </c>
      <c r="C5" s="1001"/>
      <c r="D5" s="1001"/>
      <c r="E5" s="1001"/>
      <c r="F5" s="33"/>
      <c r="G5" s="33"/>
      <c r="H5" s="33"/>
      <c r="I5" s="33"/>
      <c r="J5" s="33"/>
      <c r="K5" s="33"/>
      <c r="L5" s="33"/>
      <c r="M5" s="33"/>
    </row>
    <row r="6" spans="1:13" x14ac:dyDescent="0.25">
      <c r="A6" s="143" t="s">
        <v>3</v>
      </c>
      <c r="B6" s="1001">
        <f>Reference</f>
        <v>0</v>
      </c>
      <c r="C6" s="1001"/>
      <c r="D6" s="1001"/>
      <c r="E6" s="1001"/>
      <c r="F6" s="33"/>
      <c r="G6" s="33"/>
      <c r="H6" s="33"/>
      <c r="I6" s="33"/>
      <c r="J6" s="33"/>
      <c r="K6" s="33"/>
      <c r="L6" s="33"/>
      <c r="M6" s="33"/>
    </row>
    <row r="8" spans="1:13" ht="16.5" customHeight="1" x14ac:dyDescent="0.25">
      <c r="A8" s="146"/>
      <c r="B8" s="147"/>
      <c r="C8" s="148"/>
      <c r="D8" s="123" t="s">
        <v>366</v>
      </c>
      <c r="E8" s="132">
        <v>-60</v>
      </c>
      <c r="F8" s="33" t="s">
        <v>365</v>
      </c>
      <c r="G8" s="33"/>
      <c r="H8" s="33"/>
      <c r="I8" s="33"/>
      <c r="J8" s="33"/>
      <c r="K8" s="33"/>
      <c r="L8" s="33"/>
      <c r="M8" s="33"/>
    </row>
    <row r="9" spans="1:13" x14ac:dyDescent="0.25">
      <c r="A9" s="149"/>
      <c r="B9" s="141"/>
      <c r="C9" s="148"/>
      <c r="D9" s="123" t="s">
        <v>364</v>
      </c>
      <c r="E9" s="132">
        <f>IF(ABS(1/$E$8)&gt;curv_at_yld, 1/((1/$E$8)-((ABS($E$8)/$E$8)*(1.5*(1-$F$32))*curv_at_yld*(1-((1/3)*(curv_at_yld/(1/$E$8))^2)))), IF($F$32=0, ABS($E$8)/$E$8*99999, $E$8/$F$32))</f>
        <v>-181.81818181818181</v>
      </c>
      <c r="F9" s="33" t="s">
        <v>363</v>
      </c>
      <c r="G9" s="33"/>
      <c r="H9" s="33"/>
      <c r="I9" s="33"/>
      <c r="J9" s="33"/>
      <c r="K9" s="33"/>
      <c r="L9" s="33"/>
      <c r="M9" s="33"/>
    </row>
    <row r="10" spans="1:13" ht="15.75" thickBot="1" x14ac:dyDescent="0.3">
      <c r="A10" s="33"/>
      <c r="B10" s="33"/>
      <c r="C10" s="33"/>
      <c r="D10" s="123" t="s">
        <v>362</v>
      </c>
      <c r="E10" s="138">
        <f>1/$E$9</f>
        <v>-5.5000000000000005E-3</v>
      </c>
      <c r="F10" s="33"/>
      <c r="G10" s="33"/>
      <c r="H10" s="33"/>
      <c r="I10" s="33"/>
      <c r="J10" s="33"/>
      <c r="K10" s="33"/>
      <c r="L10" s="33"/>
      <c r="M10" s="33"/>
    </row>
    <row r="11" spans="1:13" x14ac:dyDescent="0.25">
      <c r="A11" s="140" t="s">
        <v>361</v>
      </c>
      <c r="B11" s="139">
        <f>CoilWidth_1</f>
        <v>18</v>
      </c>
      <c r="C11" s="33" t="s">
        <v>336</v>
      </c>
      <c r="D11" s="123" t="s">
        <v>360</v>
      </c>
      <c r="E11" s="138">
        <f>2*yield/(thk*modulus)</f>
        <v>2.7586206896551724E-2</v>
      </c>
      <c r="F11" s="33"/>
      <c r="G11" s="33"/>
      <c r="H11" s="33"/>
      <c r="I11" s="33"/>
      <c r="J11" s="33"/>
      <c r="K11" s="33"/>
      <c r="L11" s="33"/>
      <c r="M11" s="33"/>
    </row>
    <row r="12" spans="1:13" x14ac:dyDescent="0.25">
      <c r="A12" s="135" t="s">
        <v>359</v>
      </c>
      <c r="B12" s="137">
        <f>Thickness_1</f>
        <v>0.25</v>
      </c>
      <c r="C12" s="36" t="s">
        <v>336</v>
      </c>
      <c r="D12" s="136" t="s">
        <v>358</v>
      </c>
      <c r="E12" s="132">
        <f>1/curv_at_yld</f>
        <v>36.25</v>
      </c>
      <c r="F12" s="33" t="s">
        <v>357</v>
      </c>
      <c r="G12" s="33"/>
      <c r="H12" s="33"/>
      <c r="I12" s="33"/>
      <c r="J12" s="33"/>
      <c r="K12" s="33"/>
      <c r="L12" s="33"/>
      <c r="M12" s="33"/>
    </row>
    <row r="13" spans="1:13" x14ac:dyDescent="0.25">
      <c r="A13" s="135" t="s">
        <v>356</v>
      </c>
      <c r="B13" s="134">
        <f>YieldStrength_1</f>
        <v>100000</v>
      </c>
      <c r="C13" s="130" t="s">
        <v>11</v>
      </c>
      <c r="D13" s="133" t="s">
        <v>355</v>
      </c>
      <c r="E13" s="132">
        <f>width*yield*(thk^2)/6</f>
        <v>18750</v>
      </c>
      <c r="F13" s="33" t="s">
        <v>354</v>
      </c>
      <c r="G13" s="33"/>
      <c r="H13" s="33"/>
      <c r="I13" s="33"/>
      <c r="J13" s="33"/>
      <c r="K13" s="33"/>
      <c r="L13" s="33"/>
      <c r="M13" s="33"/>
    </row>
    <row r="14" spans="1:13" ht="17.25" customHeight="1" x14ac:dyDescent="0.25">
      <c r="A14" s="131" t="s">
        <v>353</v>
      </c>
      <c r="B14" s="436" t="str">
        <f>Material_1</f>
        <v>HS Steel</v>
      </c>
      <c r="C14" s="130"/>
      <c r="D14" s="130"/>
      <c r="E14" s="129" t="str">
        <f>IF(E21&gt;0,"", "ROLLER TOO HIGH!")</f>
        <v/>
      </c>
      <c r="F14" s="33"/>
      <c r="G14" s="129" t="str">
        <f>IF(G21&gt;0,"", "ROLLER TOO HIGH!")</f>
        <v/>
      </c>
      <c r="H14" s="129"/>
      <c r="I14" s="129" t="str">
        <f>IF(I21&gt;0,"", "ROLLER TOO HIGH!")</f>
        <v/>
      </c>
      <c r="J14" s="33"/>
      <c r="K14" s="129" t="str">
        <f>IF(K21&gt;0,"", "ROLLER TOO HIGH!")</f>
        <v/>
      </c>
      <c r="L14" s="33"/>
      <c r="M14" s="129" t="str">
        <f>IF(M21&gt;0,"", "ROLLER TOO HIGH!")</f>
        <v/>
      </c>
    </row>
    <row r="15" spans="1:13" ht="17.25" customHeight="1" thickBot="1" x14ac:dyDescent="0.3">
      <c r="A15" s="151" t="s">
        <v>965</v>
      </c>
      <c r="B15" s="436" t="str">
        <f>'Str. Utility (1)'!model</f>
        <v>CPPS-507</v>
      </c>
      <c r="C15" s="36"/>
      <c r="D15" s="33"/>
      <c r="E15" s="33"/>
      <c r="F15" s="33"/>
      <c r="G15" s="33"/>
      <c r="H15" s="33"/>
      <c r="I15" s="33"/>
      <c r="J15" s="33"/>
      <c r="K15" s="33"/>
      <c r="L15" s="33"/>
      <c r="M15" s="33"/>
    </row>
    <row r="16" spans="1:13" ht="15" customHeight="1" thickBot="1" x14ac:dyDescent="0.3">
      <c r="A16" s="68"/>
      <c r="B16" s="33"/>
      <c r="C16" s="36"/>
      <c r="D16" s="33"/>
      <c r="E16" s="152">
        <v>9843.8065477949112</v>
      </c>
      <c r="F16" s="33"/>
      <c r="G16" s="46"/>
      <c r="H16" s="46"/>
      <c r="I16" s="46"/>
      <c r="J16" s="33"/>
      <c r="K16" s="33"/>
      <c r="L16" s="33"/>
      <c r="M16" s="46"/>
    </row>
    <row r="17" spans="1:17" ht="15.75" thickBot="1" x14ac:dyDescent="0.3">
      <c r="A17" s="123"/>
      <c r="B17" s="33"/>
      <c r="C17" s="33"/>
      <c r="D17" s="122"/>
      <c r="E17" s="121" t="s">
        <v>351</v>
      </c>
      <c r="F17" s="119"/>
      <c r="G17" s="120" t="s">
        <v>350</v>
      </c>
      <c r="H17" s="120"/>
      <c r="I17" s="120" t="s">
        <v>350</v>
      </c>
      <c r="J17" s="119"/>
      <c r="K17" s="120" t="s">
        <v>350</v>
      </c>
      <c r="L17" s="166"/>
      <c r="M17" s="118" t="s">
        <v>349</v>
      </c>
      <c r="N17" s="33"/>
      <c r="O17" s="33"/>
      <c r="P17" s="33"/>
      <c r="Q17" s="65"/>
    </row>
    <row r="18" spans="1:17" ht="21.75" customHeight="1" x14ac:dyDescent="0.25">
      <c r="A18" s="153" t="s">
        <v>348</v>
      </c>
      <c r="B18" s="116">
        <f>VLOOKUP($B$15,LookupStrModel,2,FALSE)</f>
        <v>5</v>
      </c>
      <c r="C18" s="71" t="s">
        <v>336</v>
      </c>
      <c r="D18" s="154" t="s">
        <v>370</v>
      </c>
      <c r="E18" s="114">
        <f>IF((E16-10000)/1000&lt;$B23, "TOO DEEP!", (E16-10000)/1000)</f>
        <v>-0.15619345220508876</v>
      </c>
      <c r="F18" s="112"/>
      <c r="G18" s="113">
        <f>E18+((M18-E18)/4)</f>
        <v>-6.7145089153816562E-2</v>
      </c>
      <c r="H18" s="155"/>
      <c r="I18" s="113">
        <f>G18+((M18-E18)/4)</f>
        <v>2.1903273897455638E-2</v>
      </c>
      <c r="J18" s="112"/>
      <c r="K18" s="113">
        <f>I18+((M18-E18)/4)</f>
        <v>0.11095163694872784</v>
      </c>
      <c r="L18" s="167"/>
      <c r="M18" s="111">
        <f>thk*0.8</f>
        <v>0.2</v>
      </c>
      <c r="N18" s="33"/>
      <c r="O18" s="33"/>
      <c r="P18" s="33"/>
      <c r="Q18" s="33"/>
    </row>
    <row r="19" spans="1:17" ht="25.5" x14ac:dyDescent="0.25">
      <c r="A19" s="131" t="s">
        <v>346</v>
      </c>
      <c r="B19" s="98">
        <f>VLOOKUP($B$15,LookupStrModel,3,FALSE)</f>
        <v>9</v>
      </c>
      <c r="C19" s="71" t="s">
        <v>336</v>
      </c>
      <c r="D19" s="156" t="s">
        <v>345</v>
      </c>
      <c r="E19" s="109">
        <f>(1.314-$D$31*thk+$D$32*E18)*((-0.25*cent_dist^2)-(E18^2)+(2*E18*thk)-thk^2)/(4*(E18+0.00000001)-4*thk)</f>
        <v>16.156918322322042</v>
      </c>
      <c r="F19" s="93">
        <f>-E19</f>
        <v>-16.156918322322042</v>
      </c>
      <c r="G19" s="93">
        <f>((-0.25*cent_dist^2)-(G$18^2)+(2*G$18*thk)-thk^2)/(4*(G$18+0.00000001)-4*thk)</f>
        <v>16.042012272326851</v>
      </c>
      <c r="H19" s="93">
        <f>-G19</f>
        <v>-16.042012272326851</v>
      </c>
      <c r="I19" s="93">
        <f>((-0.25*cent_dist^2)-(I$18^2)+(2*I$18*thk)-thk^2)/(4*(I$18+0.00000001)-4*thk)</f>
        <v>22.251556777489522</v>
      </c>
      <c r="J19" s="93">
        <f>-I19</f>
        <v>-22.251556777489522</v>
      </c>
      <c r="K19" s="93">
        <f>((-0.25*cent_dist^2)-(K$18^2)+(2*K$18*thk)-thk^2)/(4*(K$18+0.00000001)-4*thk)</f>
        <v>36.442960312865409</v>
      </c>
      <c r="L19" s="93">
        <f>-K19</f>
        <v>-36.442960312865409</v>
      </c>
      <c r="M19" s="108">
        <f>(1.314-$D$31*thk+$D$32*M18)*((-0.25*cent_dist^2)-(M18^2)+(2*M18*thk)-thk^2)/(4*(M18+0.00000001)-4*thk)</f>
        <v>136.70440234088048</v>
      </c>
      <c r="N19" s="33"/>
      <c r="O19" s="33"/>
      <c r="P19" s="33"/>
      <c r="Q19" s="33"/>
    </row>
    <row r="20" spans="1:17" ht="25.5" x14ac:dyDescent="0.25">
      <c r="A20" s="131" t="s">
        <v>344</v>
      </c>
      <c r="B20" s="107">
        <f>VLOOKUP($B$14,LookupMaterial,3,FALSE)</f>
        <v>29000000</v>
      </c>
      <c r="C20" s="71" t="s">
        <v>11</v>
      </c>
      <c r="D20" s="157" t="s">
        <v>343</v>
      </c>
      <c r="E20" s="105" t="s">
        <v>277</v>
      </c>
      <c r="F20" s="104" t="s">
        <v>278</v>
      </c>
      <c r="G20" s="104" t="s">
        <v>277</v>
      </c>
      <c r="H20" s="104" t="s">
        <v>278</v>
      </c>
      <c r="I20" s="104" t="s">
        <v>277</v>
      </c>
      <c r="J20" s="104" t="s">
        <v>278</v>
      </c>
      <c r="K20" s="104" t="s">
        <v>277</v>
      </c>
      <c r="L20" s="104" t="s">
        <v>278</v>
      </c>
      <c r="M20" s="103" t="s">
        <v>277</v>
      </c>
      <c r="N20" s="33"/>
      <c r="O20" s="33"/>
      <c r="P20" s="33"/>
      <c r="Q20" s="33"/>
    </row>
    <row r="21" spans="1:17" ht="27.75" customHeight="1" x14ac:dyDescent="0.25">
      <c r="A21" s="131" t="s">
        <v>342</v>
      </c>
      <c r="B21" s="158">
        <f>VLOOKUP($B$15,LookupStrModel,5,FALSE)</f>
        <v>60000</v>
      </c>
      <c r="C21" s="159" t="s">
        <v>341</v>
      </c>
      <c r="D21" s="156" t="s">
        <v>340</v>
      </c>
      <c r="E21" s="88">
        <f>1/E19-$E$10</f>
        <v>6.7392990980738088E-2</v>
      </c>
      <c r="F21" s="87">
        <f t="shared" ref="F21:L21" si="0">1/F19-1/E27</f>
        <v>-8.4717759757415134E-2</v>
      </c>
      <c r="G21" s="87">
        <f t="shared" si="0"/>
        <v>8.4312503927699012E-2</v>
      </c>
      <c r="H21" s="87">
        <f t="shared" si="0"/>
        <v>-8.4769925404450983E-2</v>
      </c>
      <c r="I21" s="87">
        <f t="shared" si="0"/>
        <v>6.7358389348590425E-2</v>
      </c>
      <c r="J21" s="87">
        <f t="shared" si="0"/>
        <v>-5.0815504465673442E-2</v>
      </c>
      <c r="K21" s="87">
        <f t="shared" si="0"/>
        <v>3.5066441239799427E-2</v>
      </c>
      <c r="L21" s="87">
        <f t="shared" si="0"/>
        <v>-2.2037134086215049E-2</v>
      </c>
      <c r="M21" s="86">
        <f>1/M19-1/J27</f>
        <v>1.4941352778336189E-2</v>
      </c>
      <c r="N21" s="33"/>
      <c r="O21" s="33"/>
      <c r="P21" s="33"/>
      <c r="Q21" s="33"/>
    </row>
    <row r="22" spans="1:17" ht="45" customHeight="1" x14ac:dyDescent="0.25">
      <c r="A22" s="160" t="s">
        <v>339</v>
      </c>
      <c r="B22" s="98">
        <f>VLOOKUP($B$15,LookupStrModel,6,FALSE)</f>
        <v>-1.25</v>
      </c>
      <c r="C22" s="71" t="s">
        <v>336</v>
      </c>
      <c r="D22" s="161" t="s">
        <v>338</v>
      </c>
      <c r="E22" s="94">
        <f t="shared" ref="E22:M22" si="1">IF(ABS(E21)&lt;curv_at_yld, (modulus*width*thk^3)/(12)*(E21), (ABS(E21)/E21)*1.5*My*(1-1/3*((curv_at_yld/E21)^2)))</f>
        <v>26554.182279322733</v>
      </c>
      <c r="F22" s="93">
        <f t="shared" si="1"/>
        <v>-27130.954351032422</v>
      </c>
      <c r="G22" s="93">
        <f t="shared" si="1"/>
        <v>27121.375441002067</v>
      </c>
      <c r="H22" s="93">
        <f t="shared" si="1"/>
        <v>-27132.177404584963</v>
      </c>
      <c r="I22" s="93">
        <f t="shared" si="1"/>
        <v>26552.56802405776</v>
      </c>
      <c r="J22" s="93">
        <f t="shared" si="1"/>
        <v>-25362.115233467121</v>
      </c>
      <c r="K22" s="93">
        <f>IF(ABS(K21)&lt;curv_at_yld, (modulus*width*thk^3)/(12)*(K21), (ABS(K21)/K21)*1.5*My*(1-1/3*((curv_at_yld/K21)^2)))</f>
        <v>22323.078237492122</v>
      </c>
      <c r="L22" s="93">
        <f>IF(ABS(L21)&lt;curv_at_yld, (modulus*width*thk^3)/(12)*(L21), (ABS(L21)/L21)*1.5*My*(1-1/3*((curv_at_yld/L21)^2)))</f>
        <v>-14978.364574224292</v>
      </c>
      <c r="M22" s="92">
        <f t="shared" si="1"/>
        <v>10155.450716525378</v>
      </c>
      <c r="N22" s="33"/>
      <c r="O22" s="33"/>
      <c r="P22" s="33"/>
      <c r="Q22" s="33"/>
    </row>
    <row r="23" spans="1:17" ht="45" customHeight="1" thickBot="1" x14ac:dyDescent="0.3">
      <c r="A23" s="162" t="s">
        <v>337</v>
      </c>
      <c r="B23" s="163">
        <f>IF((B$18+thk)^2-(cent_dist/2)^2&lt;0, B22, IF(B$18-SQRT((B$18+thk)^2-(cent_dist/2)^2)&lt;-B22, -B$18+SQRT((B$18+thk)^2-(cent_dist/2)^2), B22))</f>
        <v>-1.25</v>
      </c>
      <c r="C23" s="71" t="s">
        <v>336</v>
      </c>
      <c r="D23" s="156" t="s">
        <v>335</v>
      </c>
      <c r="E23" s="88">
        <f t="shared" ref="E23:M23" si="2">E22/My</f>
        <v>1.4162230548972123</v>
      </c>
      <c r="F23" s="87">
        <f t="shared" si="2"/>
        <v>-1.4469842320550625</v>
      </c>
      <c r="G23" s="87">
        <f t="shared" si="2"/>
        <v>1.4464733568534436</v>
      </c>
      <c r="H23" s="87">
        <f t="shared" si="2"/>
        <v>-1.4470494615778646</v>
      </c>
      <c r="I23" s="87">
        <f t="shared" si="2"/>
        <v>1.4161369612830805</v>
      </c>
      <c r="J23" s="87">
        <f t="shared" si="2"/>
        <v>-1.352646145784913</v>
      </c>
      <c r="K23" s="87">
        <f>K22/My</f>
        <v>1.1905641726662466</v>
      </c>
      <c r="L23" s="87">
        <f>L22/My</f>
        <v>-0.79884611062529554</v>
      </c>
      <c r="M23" s="86">
        <f t="shared" si="2"/>
        <v>0.54162403821468685</v>
      </c>
      <c r="N23" s="33"/>
      <c r="O23" s="33"/>
      <c r="P23" s="33"/>
      <c r="Q23" s="33"/>
    </row>
    <row r="24" spans="1:17" ht="45" customHeight="1" thickBot="1" x14ac:dyDescent="0.3">
      <c r="A24" s="72"/>
      <c r="B24" s="71"/>
      <c r="C24" s="71"/>
      <c r="D24" s="156" t="s">
        <v>334</v>
      </c>
      <c r="E24" s="94">
        <f>E22*5.333/cent_dist</f>
        <v>15734.828232847571</v>
      </c>
      <c r="F24" s="93"/>
      <c r="G24" s="93">
        <f>G22*5.333/cent_dist</f>
        <v>16070.92169187378</v>
      </c>
      <c r="H24" s="93"/>
      <c r="I24" s="93">
        <f>I22*5.333/cent_dist</f>
        <v>15733.871696922226</v>
      </c>
      <c r="J24" s="93"/>
      <c r="K24" s="93">
        <f>K22*5.333/cent_dist</f>
        <v>13227.664026727278</v>
      </c>
      <c r="L24" s="93"/>
      <c r="M24" s="92">
        <f>M22*5.3333/cent_dist</f>
        <v>6018.007256271645</v>
      </c>
      <c r="N24" s="91" t="str">
        <f>IF(E24&gt;B21, "NOT ENOUGH FORCE!", IF(G24&gt;B21, "NOT ENOUGH FORCE!", IF(M24&gt;B21, "NOT ENOUGH FORCE!", "")))</f>
        <v/>
      </c>
      <c r="O24" s="33"/>
      <c r="P24" s="33"/>
      <c r="Q24" s="33"/>
    </row>
    <row r="25" spans="1:17" ht="50.25" customHeight="1" x14ac:dyDescent="0.25">
      <c r="A25" s="90" t="s">
        <v>333</v>
      </c>
      <c r="B25" s="89">
        <f>-(1.5*rad_at_yld-thk-SQRT(ABS(((1.5*rad_at_yld)^2)-(cent_dist/2)^2)))</f>
        <v>6.3473174652187936E-2</v>
      </c>
      <c r="C25" s="81" t="str">
        <f>IF(B25&gt;B23, "OK", "WILL NOT STRAIGHTEN")</f>
        <v>OK</v>
      </c>
      <c r="D25" s="156" t="s">
        <v>332</v>
      </c>
      <c r="E25" s="88">
        <f t="shared" ref="E25:M25" si="3">-curv_at_yld*E23</f>
        <v>-3.9068222204061032E-2</v>
      </c>
      <c r="F25" s="87">
        <f t="shared" si="3"/>
        <v>3.9916806401518963E-2</v>
      </c>
      <c r="G25" s="87">
        <f t="shared" si="3"/>
        <v>-3.9902713292508787E-2</v>
      </c>
      <c r="H25" s="87">
        <f t="shared" si="3"/>
        <v>3.9918605836630747E-2</v>
      </c>
      <c r="I25" s="87">
        <f t="shared" si="3"/>
        <v>-3.9065847207809118E-2</v>
      </c>
      <c r="J25" s="87">
        <f t="shared" si="3"/>
        <v>3.7314376435445877E-2</v>
      </c>
      <c r="K25" s="87">
        <f t="shared" si="3"/>
        <v>-3.2843149590793007E-2</v>
      </c>
      <c r="L25" s="87">
        <f t="shared" si="3"/>
        <v>2.2037134086215049E-2</v>
      </c>
      <c r="M25" s="86">
        <f t="shared" si="3"/>
        <v>-1.4941352778336189E-2</v>
      </c>
      <c r="N25" s="33"/>
      <c r="O25" s="33"/>
      <c r="P25" s="33"/>
      <c r="Q25" s="33"/>
    </row>
    <row r="26" spans="1:17" ht="51.75" customHeight="1" x14ac:dyDescent="0.25">
      <c r="A26" s="626" t="s">
        <v>371</v>
      </c>
      <c r="B26" s="627">
        <f>(16*yield*width*thk^2)/(15*cent_dist)</f>
        <v>13333.333333333334</v>
      </c>
      <c r="C26" s="81" t="str">
        <f>IF(B26&lt;B21, "OK", "NOT ENOUGH FORCE")</f>
        <v>OK</v>
      </c>
      <c r="D26" s="156" t="s">
        <v>330</v>
      </c>
      <c r="E26" s="84">
        <f t="shared" ref="E26:M26" si="4">IF(curv_at_yld&lt;ABS(E21),1-ABS(curv_at_yld/E21), "NONE")</f>
        <v>0.59066652933631825</v>
      </c>
      <c r="F26" s="83">
        <f t="shared" si="4"/>
        <v>0.67437516082172877</v>
      </c>
      <c r="G26" s="83">
        <f t="shared" si="4"/>
        <v>0.67281001498653292</v>
      </c>
      <c r="H26" s="83">
        <f t="shared" si="4"/>
        <v>0.67457554356768057</v>
      </c>
      <c r="I26" s="83">
        <f t="shared" si="4"/>
        <v>0.5904562569958629</v>
      </c>
      <c r="J26" s="83">
        <f t="shared" si="4"/>
        <v>0.4571301183246822</v>
      </c>
      <c r="K26" s="83">
        <f t="shared" si="4"/>
        <v>0.2133160388901354</v>
      </c>
      <c r="L26" s="83" t="str">
        <f t="shared" si="4"/>
        <v>NONE</v>
      </c>
      <c r="M26" s="82" t="str">
        <f t="shared" si="4"/>
        <v>NONE</v>
      </c>
      <c r="N26" s="33"/>
      <c r="O26" s="33"/>
      <c r="P26" s="33"/>
      <c r="Q26" s="33"/>
    </row>
    <row r="27" spans="1:17" ht="51.75" customHeight="1" thickBot="1" x14ac:dyDescent="0.3">
      <c r="A27" s="624" t="s">
        <v>1119</v>
      </c>
      <c r="B27" s="628" t="str">
        <f>IF(AND(E26&gt;=BackbendMin, E26&lt;=BackbendMax), IF(AND(E26 &lt;= BackbendConfirm, B28=FALSE), BackbendNCText, BackbendOKText), BackbendNOText)</f>
        <v>OK</v>
      </c>
      <c r="C27" s="71"/>
      <c r="D27" s="164" t="s">
        <v>328</v>
      </c>
      <c r="E27" s="75">
        <f t="shared" ref="E27:L27" si="5">1/((1/E19)+E25)</f>
        <v>43.812053904433256</v>
      </c>
      <c r="F27" s="74">
        <f t="shared" si="5"/>
        <v>-45.503804192908405</v>
      </c>
      <c r="G27" s="74">
        <f t="shared" si="5"/>
        <v>44.575981119800062</v>
      </c>
      <c r="H27" s="74">
        <f t="shared" si="5"/>
        <v>-44.607582279586126</v>
      </c>
      <c r="I27" s="74">
        <f t="shared" si="5"/>
        <v>170.21773113095301</v>
      </c>
      <c r="J27" s="74">
        <f t="shared" si="5"/>
        <v>-131.12519550834054</v>
      </c>
      <c r="K27" s="74">
        <f t="shared" si="5"/>
        <v>-185.08209609293101</v>
      </c>
      <c r="L27" s="74">
        <f t="shared" si="5"/>
        <v>-185.08209609293101</v>
      </c>
      <c r="M27" s="165">
        <f>IF(ABS((1/M19)+M25)&lt;0.00001, "FLAT", 1/((1/M19)+M25))</f>
        <v>-131.12519550834054</v>
      </c>
      <c r="N27" s="33"/>
      <c r="O27" s="33"/>
      <c r="P27" s="33"/>
      <c r="Q27" s="33"/>
    </row>
    <row r="28" spans="1:17" ht="45" customHeight="1" x14ac:dyDescent="0.25">
      <c r="A28" s="72"/>
      <c r="B28" s="689" t="b">
        <v>0</v>
      </c>
      <c r="C28" s="71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</row>
    <row r="29" spans="1:17" x14ac:dyDescent="0.25">
      <c r="A29" s="33"/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</row>
    <row r="31" spans="1:17" x14ac:dyDescent="0.25">
      <c r="A31" s="46"/>
      <c r="B31" s="46"/>
      <c r="C31" s="46"/>
      <c r="D31" s="37"/>
      <c r="E31" s="68"/>
      <c r="F31" s="67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</row>
    <row r="32" spans="1:17" hidden="1" x14ac:dyDescent="0.25">
      <c r="A32" s="46"/>
      <c r="B32" s="46"/>
      <c r="C32" s="46" t="s">
        <v>169</v>
      </c>
      <c r="D32" s="37">
        <f>VLOOKUP($B$15,LookupStrModel,7,FALSE)</f>
        <v>0.18</v>
      </c>
      <c r="E32" s="68" t="s">
        <v>327</v>
      </c>
      <c r="F32" s="67">
        <v>0.33</v>
      </c>
      <c r="G32" s="33">
        <f>E19/H33</f>
        <v>1.1098131482091556</v>
      </c>
      <c r="H32" s="33" t="s">
        <v>326</v>
      </c>
      <c r="I32" s="33" t="s">
        <v>293</v>
      </c>
      <c r="J32" s="33" t="s">
        <v>292</v>
      </c>
      <c r="K32" s="33" t="s">
        <v>291</v>
      </c>
      <c r="L32" s="33"/>
      <c r="M32" s="33"/>
      <c r="N32" s="33"/>
      <c r="O32" s="33"/>
      <c r="P32" s="33"/>
      <c r="Q32" s="33"/>
    </row>
    <row r="33" spans="1:13" hidden="1" x14ac:dyDescent="0.25">
      <c r="A33" s="46"/>
      <c r="B33" s="46"/>
      <c r="C33" s="46" t="s">
        <v>166</v>
      </c>
      <c r="D33" s="37">
        <f>VLOOKUP($B$15,LookupStrModel,8,FALSE)</f>
        <v>0.18</v>
      </c>
      <c r="E33" s="33"/>
      <c r="F33" s="33"/>
      <c r="G33" s="33"/>
      <c r="H33" s="65">
        <f>rad_at_yld/2.49</f>
        <v>14.558232931726906</v>
      </c>
      <c r="I33" s="65">
        <f>H33-(SQRT(((H33+(thk/4))^2)-((cent_dist/4)^2)))</f>
        <v>0.11166477659457108</v>
      </c>
      <c r="J33" s="65">
        <f>ABS(I33)*-2 * 1.07</f>
        <v>-0.23896262191238213</v>
      </c>
      <c r="K33" s="65">
        <f>10000+(L41*1000)</f>
        <v>9843.8065477949112</v>
      </c>
      <c r="L33" s="33">
        <f>10000+(B22*1000)</f>
        <v>8750</v>
      </c>
      <c r="M33" s="33">
        <f>IF(K33&gt;L33,K33,L33)</f>
        <v>9843.8065477949112</v>
      </c>
    </row>
    <row r="34" spans="1:13" hidden="1" x14ac:dyDescent="0.25">
      <c r="A34" s="46"/>
      <c r="B34" s="46"/>
      <c r="C34" s="33"/>
      <c r="D34" s="33"/>
      <c r="E34" s="33"/>
      <c r="F34" s="33"/>
      <c r="G34" s="33"/>
      <c r="H34" s="33"/>
      <c r="I34" s="65">
        <f>H33-(SQRT(((H33+(thk/4))*((H33+(thk/4)))-(((cent_dist/4)*(cent_dist/4))))))</f>
        <v>0.11166477659457108</v>
      </c>
      <c r="J34" s="33"/>
      <c r="K34" s="33"/>
      <c r="L34" s="33"/>
      <c r="M34" s="33"/>
    </row>
    <row r="35" spans="1:13" hidden="1" x14ac:dyDescent="0.25">
      <c r="A35" s="46"/>
      <c r="B35" s="46"/>
      <c r="C35" s="33"/>
      <c r="D35" s="33"/>
      <c r="E35" s="33"/>
      <c r="F35" s="33"/>
      <c r="G35" s="33"/>
      <c r="H35" s="33"/>
      <c r="I35" s="65">
        <f>(SQRT(((H33+(thk/4))*((H33+(thk/4)))-(((cent_dist/4)*(cent_dist/4))))))</f>
        <v>14.446568155132335</v>
      </c>
      <c r="J35" s="65">
        <f>I35-H33</f>
        <v>-0.11166477659457108</v>
      </c>
      <c r="K35" s="33"/>
      <c r="L35" s="33"/>
      <c r="M35" s="33"/>
    </row>
    <row r="36" spans="1:13" hidden="1" x14ac:dyDescent="0.25">
      <c r="A36" s="46"/>
      <c r="B36" s="46"/>
      <c r="C36" s="33"/>
      <c r="D36" s="33"/>
      <c r="E36" s="33"/>
      <c r="F36" s="33"/>
      <c r="G36" s="33"/>
      <c r="H36" s="33"/>
      <c r="I36" s="33">
        <v>4</v>
      </c>
      <c r="J36" s="33">
        <v>8</v>
      </c>
      <c r="K36" s="33">
        <v>2</v>
      </c>
      <c r="L36" s="33">
        <v>3</v>
      </c>
      <c r="M36" s="33"/>
    </row>
    <row r="37" spans="1:13" hidden="1" x14ac:dyDescent="0.25">
      <c r="A37" s="46"/>
      <c r="B37" s="46"/>
      <c r="C37" s="33"/>
      <c r="D37" s="33"/>
      <c r="E37" s="33"/>
      <c r="F37" s="33"/>
      <c r="G37" s="33"/>
      <c r="H37" s="33" t="s">
        <v>276</v>
      </c>
      <c r="I37" s="65">
        <f>SQRT(((I39)^2)-((I38)^2))</f>
        <v>14.383311374451218</v>
      </c>
      <c r="J37" s="65">
        <f>SQRT(((J39)^2)-((J38)^2))</f>
        <v>14.514700172391359</v>
      </c>
      <c r="K37" s="65">
        <f>SQRT(((K39)^2)-((K38)^2))</f>
        <v>13.845293283077025</v>
      </c>
      <c r="L37" s="65">
        <f>SQRT(((L39)^2)-((L38)^2))</f>
        <v>14.245776430030684</v>
      </c>
      <c r="M37" s="33"/>
    </row>
    <row r="38" spans="1:13" hidden="1" x14ac:dyDescent="0.25">
      <c r="A38" s="33"/>
      <c r="B38" s="46"/>
      <c r="C38" s="33"/>
      <c r="D38" s="33"/>
      <c r="E38" s="33"/>
      <c r="F38" s="33"/>
      <c r="G38" s="33"/>
      <c r="H38" s="33" t="s">
        <v>271</v>
      </c>
      <c r="I38" s="65">
        <f>cent_dist/4</f>
        <v>2.25</v>
      </c>
      <c r="J38" s="65">
        <f>cent_dist/8</f>
        <v>1.125</v>
      </c>
      <c r="K38" s="65">
        <f>cent_dist/2</f>
        <v>4.5</v>
      </c>
      <c r="L38" s="65">
        <f>cent_dist/3</f>
        <v>3</v>
      </c>
      <c r="M38" s="33"/>
    </row>
    <row r="39" spans="1:13" hidden="1" x14ac:dyDescent="0.25">
      <c r="A39" s="33"/>
      <c r="B39" s="46"/>
      <c r="C39" s="33"/>
      <c r="D39" s="33"/>
      <c r="E39" s="33"/>
      <c r="F39" s="33"/>
      <c r="G39" s="33"/>
      <c r="H39" s="33" t="s">
        <v>325</v>
      </c>
      <c r="I39" s="65">
        <f>H33</f>
        <v>14.558232931726906</v>
      </c>
      <c r="J39" s="65">
        <f>H33</f>
        <v>14.558232931726906</v>
      </c>
      <c r="K39" s="65">
        <f>H33</f>
        <v>14.558232931726906</v>
      </c>
      <c r="L39" s="65">
        <f>H33</f>
        <v>14.558232931726906</v>
      </c>
      <c r="M39" s="33"/>
    </row>
    <row r="40" spans="1:13" hidden="1" x14ac:dyDescent="0.25">
      <c r="A40" s="33"/>
      <c r="B40" s="46"/>
      <c r="C40" s="33"/>
      <c r="D40" s="33"/>
      <c r="E40" s="33"/>
      <c r="F40" s="33"/>
      <c r="G40" s="33"/>
      <c r="H40" s="33" t="s">
        <v>324</v>
      </c>
      <c r="I40" s="65">
        <f>(I39-I37) *2</f>
        <v>0.34984311455137629</v>
      </c>
      <c r="J40" s="65">
        <f>(J39-J37) *4</f>
        <v>0.17413103734218538</v>
      </c>
      <c r="K40" s="65">
        <f>(K39-K37) *1</f>
        <v>0.71293964864988091</v>
      </c>
      <c r="L40" s="65">
        <f>(L39-L37) *1.3</f>
        <v>0.40619345220508801</v>
      </c>
      <c r="M40" s="33"/>
    </row>
    <row r="41" spans="1:13" hidden="1" x14ac:dyDescent="0.25">
      <c r="A41" s="33"/>
      <c r="B41" s="46"/>
      <c r="C41" s="33"/>
      <c r="D41" s="33"/>
      <c r="E41" s="33"/>
      <c r="F41" s="33"/>
      <c r="G41" s="33"/>
      <c r="H41" s="33" t="s">
        <v>263</v>
      </c>
      <c r="I41" s="65">
        <f>thk-I40</f>
        <v>-9.9843114551376289E-2</v>
      </c>
      <c r="J41" s="65">
        <f>thk-J40</f>
        <v>7.586896265781462E-2</v>
      </c>
      <c r="K41" s="65">
        <f>thk-K40</f>
        <v>-0.46293964864988091</v>
      </c>
      <c r="L41" s="65">
        <f>thk-L40</f>
        <v>-0.15619345220508801</v>
      </c>
      <c r="M41" s="33"/>
    </row>
    <row r="42" spans="1:13" hidden="1" x14ac:dyDescent="0.25">
      <c r="A42" s="33"/>
      <c r="B42" s="46"/>
      <c r="C42" s="33"/>
      <c r="D42" s="33"/>
      <c r="E42" s="33"/>
      <c r="F42" s="33"/>
      <c r="G42" s="33"/>
      <c r="H42" s="66">
        <f>E19</f>
        <v>16.156918322322042</v>
      </c>
      <c r="I42" s="65">
        <f>H42-(SQRT(((H42+(thk/4))^2)-((cent_dist/4)^2)))</f>
        <v>9.4321063021915563E-2</v>
      </c>
      <c r="J42" s="65">
        <f>ABS(I42)*-2</f>
        <v>-0.18864212604383113</v>
      </c>
      <c r="K42" s="33"/>
      <c r="L42" s="33"/>
      <c r="M42" s="33"/>
    </row>
    <row r="43" spans="1:13" hidden="1" x14ac:dyDescent="0.25">
      <c r="A43" s="33"/>
      <c r="B43" s="46"/>
      <c r="C43" s="33"/>
      <c r="D43" s="33"/>
      <c r="E43" s="33"/>
      <c r="F43" s="33"/>
      <c r="G43" s="33"/>
      <c r="H43" s="33"/>
      <c r="I43" s="33"/>
      <c r="J43" s="65">
        <f>E18/J42</f>
        <v>0.82798818843250899</v>
      </c>
      <c r="K43" s="33"/>
      <c r="L43" s="33"/>
      <c r="M43" s="33"/>
    </row>
    <row r="44" spans="1:13" hidden="1" x14ac:dyDescent="0.25">
      <c r="A44" s="33"/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 t="s">
        <v>323</v>
      </c>
      <c r="M44" s="33"/>
    </row>
    <row r="45" spans="1:13" hidden="1" x14ac:dyDescent="0.25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 t="s">
        <v>322</v>
      </c>
      <c r="M45" s="33"/>
    </row>
    <row r="46" spans="1:13" hidden="1" x14ac:dyDescent="0.25">
      <c r="A46" s="33"/>
      <c r="B46" s="46"/>
      <c r="C46" s="33"/>
      <c r="D46" s="33"/>
      <c r="E46" s="33"/>
      <c r="F46" s="33"/>
      <c r="G46" s="33"/>
      <c r="H46" s="33"/>
      <c r="I46" s="33"/>
      <c r="J46" s="33"/>
      <c r="K46" s="33"/>
      <c r="L46" s="33" t="s">
        <v>321</v>
      </c>
      <c r="M46" s="33"/>
    </row>
    <row r="47" spans="1:13" hidden="1" x14ac:dyDescent="0.25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 t="s">
        <v>320</v>
      </c>
      <c r="M47" s="33"/>
    </row>
    <row r="48" spans="1:13" hidden="1" x14ac:dyDescent="0.25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 t="s">
        <v>319</v>
      </c>
      <c r="M48" s="33"/>
    </row>
    <row r="49" spans="1:7" hidden="1" x14ac:dyDescent="0.25">
      <c r="A49" s="33"/>
      <c r="B49" s="33"/>
      <c r="C49" s="33"/>
      <c r="D49" s="33"/>
      <c r="E49" s="33"/>
      <c r="F49" s="33"/>
      <c r="G49" s="33"/>
    </row>
    <row r="50" spans="1:7" x14ac:dyDescent="0.25">
      <c r="A50" s="33"/>
      <c r="B50" s="33"/>
      <c r="C50" s="33"/>
      <c r="D50" s="33"/>
      <c r="E50" s="33"/>
      <c r="F50" s="33"/>
      <c r="G50" s="33"/>
    </row>
    <row r="51" spans="1:7" x14ac:dyDescent="0.25">
      <c r="A51" s="33"/>
      <c r="B51" s="33"/>
      <c r="C51" s="33"/>
      <c r="D51" s="33"/>
      <c r="E51" s="33"/>
      <c r="F51" s="33"/>
      <c r="G51" s="33"/>
    </row>
    <row r="52" spans="1:7" x14ac:dyDescent="0.25">
      <c r="A52" s="33"/>
      <c r="B52" s="33"/>
      <c r="C52" s="33"/>
      <c r="D52" s="33"/>
      <c r="E52" s="33"/>
      <c r="F52" s="33"/>
      <c r="G52" s="33"/>
    </row>
    <row r="53" spans="1:7" x14ac:dyDescent="0.25">
      <c r="A53" s="33"/>
      <c r="B53" s="33"/>
      <c r="C53" s="33"/>
      <c r="D53" s="33"/>
      <c r="E53" s="33"/>
      <c r="F53" s="33"/>
      <c r="G53" s="33"/>
    </row>
    <row r="54" spans="1:7" x14ac:dyDescent="0.25">
      <c r="A54" s="33"/>
      <c r="B54" s="33"/>
      <c r="C54" s="33"/>
      <c r="D54" s="33"/>
      <c r="E54" s="33"/>
      <c r="F54" s="33"/>
      <c r="G54" s="33"/>
    </row>
    <row r="55" spans="1:7" x14ac:dyDescent="0.25">
      <c r="A55" s="33"/>
      <c r="B55" s="33"/>
      <c r="C55" s="33"/>
      <c r="D55" s="33"/>
      <c r="E55" s="33"/>
      <c r="F55" s="33"/>
      <c r="G55" s="33"/>
    </row>
    <row r="56" spans="1:7" x14ac:dyDescent="0.25">
      <c r="A56" s="33"/>
      <c r="B56" s="33"/>
      <c r="C56" s="33"/>
      <c r="D56" s="33"/>
      <c r="E56" s="33"/>
      <c r="F56" s="33"/>
      <c r="G56" s="33"/>
    </row>
    <row r="57" spans="1:7" x14ac:dyDescent="0.25">
      <c r="A57" s="35"/>
      <c r="B57" s="36"/>
      <c r="C57" s="36"/>
      <c r="D57" s="33"/>
      <c r="E57" s="36"/>
      <c r="F57" s="36"/>
      <c r="G57" s="33"/>
    </row>
    <row r="58" spans="1:7" x14ac:dyDescent="0.25">
      <c r="A58" s="35"/>
      <c r="B58" s="36"/>
      <c r="C58" s="36"/>
      <c r="D58" s="33"/>
      <c r="E58" s="36"/>
      <c r="F58" s="36"/>
      <c r="G58" s="36"/>
    </row>
    <row r="59" spans="1:7" x14ac:dyDescent="0.25">
      <c r="A59" s="35"/>
      <c r="B59" s="36"/>
      <c r="C59" s="36"/>
      <c r="D59" s="33"/>
      <c r="E59" s="36"/>
      <c r="F59" s="36"/>
      <c r="G59" s="36"/>
    </row>
    <row r="60" spans="1:7" x14ac:dyDescent="0.25">
      <c r="A60" s="35"/>
      <c r="B60" s="36"/>
      <c r="C60" s="36"/>
      <c r="D60" s="33"/>
      <c r="E60" s="36"/>
      <c r="F60" s="36"/>
      <c r="G60" s="36"/>
    </row>
    <row r="61" spans="1:7" x14ac:dyDescent="0.25">
      <c r="A61" s="35"/>
      <c r="B61" s="36"/>
      <c r="C61" s="36"/>
      <c r="D61" s="33"/>
      <c r="E61" s="36"/>
      <c r="F61" s="36"/>
      <c r="G61" s="36"/>
    </row>
    <row r="62" spans="1:7" x14ac:dyDescent="0.25">
      <c r="A62" s="35"/>
      <c r="B62" s="36"/>
      <c r="C62" s="36"/>
      <c r="D62" s="33"/>
      <c r="E62" s="36"/>
      <c r="F62" s="36"/>
      <c r="G62" s="36"/>
    </row>
    <row r="63" spans="1:7" x14ac:dyDescent="0.25">
      <c r="A63" s="35"/>
      <c r="B63" s="36"/>
      <c r="C63" s="36"/>
      <c r="D63" s="33"/>
      <c r="E63" s="36"/>
      <c r="F63" s="36"/>
      <c r="G63" s="36"/>
    </row>
    <row r="64" spans="1:7" x14ac:dyDescent="0.25">
      <c r="A64" s="35"/>
      <c r="B64" s="36"/>
      <c r="C64" s="36"/>
      <c r="D64" s="33"/>
      <c r="E64" s="36"/>
      <c r="F64" s="33"/>
      <c r="G64" s="33"/>
    </row>
    <row r="65" spans="1:7" x14ac:dyDescent="0.25">
      <c r="A65" s="35"/>
      <c r="B65" s="36"/>
      <c r="C65" s="36"/>
      <c r="D65" s="33"/>
      <c r="E65" s="36"/>
      <c r="F65" s="36"/>
      <c r="G65" s="36"/>
    </row>
    <row r="66" spans="1:7" x14ac:dyDescent="0.25">
      <c r="A66" s="33"/>
      <c r="B66" s="33"/>
      <c r="C66" s="33"/>
      <c r="D66" s="33"/>
      <c r="E66" s="33"/>
      <c r="F66" s="33"/>
      <c r="G66" s="33"/>
    </row>
    <row r="67" spans="1:7" x14ac:dyDescent="0.25">
      <c r="A67" s="33"/>
      <c r="B67" s="33"/>
      <c r="C67" s="33"/>
      <c r="D67" s="33"/>
      <c r="E67" s="33"/>
      <c r="F67" s="33"/>
      <c r="G67" s="33"/>
    </row>
    <row r="68" spans="1:7" x14ac:dyDescent="0.25">
      <c r="A68" s="33"/>
      <c r="B68" s="33"/>
      <c r="C68" s="33"/>
      <c r="D68" s="33"/>
      <c r="E68" s="33"/>
      <c r="F68" s="33"/>
      <c r="G68" s="33"/>
    </row>
    <row r="69" spans="1:7" x14ac:dyDescent="0.25">
      <c r="A69" s="33"/>
      <c r="B69" s="33"/>
      <c r="C69" s="33"/>
      <c r="D69" s="33"/>
      <c r="E69" s="33"/>
      <c r="F69" s="33"/>
      <c r="G69" s="33"/>
    </row>
    <row r="70" spans="1:7" x14ac:dyDescent="0.25">
      <c r="A70" s="33"/>
      <c r="B70" s="33"/>
      <c r="C70" s="33"/>
      <c r="D70" s="33"/>
      <c r="E70" s="33"/>
      <c r="F70" s="33"/>
      <c r="G70" s="33"/>
    </row>
    <row r="71" spans="1:7" x14ac:dyDescent="0.25">
      <c r="A71" s="33"/>
      <c r="B71" s="33"/>
      <c r="C71" s="33"/>
      <c r="D71" s="33"/>
      <c r="E71" s="33"/>
      <c r="F71" s="33"/>
      <c r="G71" s="33"/>
    </row>
    <row r="72" spans="1:7" x14ac:dyDescent="0.25">
      <c r="A72" s="33"/>
      <c r="B72" s="33"/>
      <c r="C72" s="33"/>
      <c r="D72" s="33"/>
      <c r="E72" s="33"/>
      <c r="F72" s="33"/>
      <c r="G72" s="33"/>
    </row>
    <row r="73" spans="1:7" x14ac:dyDescent="0.25">
      <c r="A73" s="33"/>
      <c r="B73" s="33"/>
      <c r="C73" s="33"/>
      <c r="D73" s="33"/>
      <c r="E73" s="33"/>
      <c r="F73" s="33"/>
      <c r="G73" s="33"/>
    </row>
    <row r="74" spans="1:7" x14ac:dyDescent="0.25">
      <c r="A74" s="33"/>
      <c r="B74" s="33"/>
      <c r="C74" s="33"/>
      <c r="D74" s="33"/>
      <c r="E74" s="33"/>
      <c r="F74" s="33"/>
      <c r="G74" s="33"/>
    </row>
    <row r="75" spans="1:7" x14ac:dyDescent="0.25">
      <c r="A75" s="35"/>
      <c r="B75" s="36"/>
      <c r="C75" s="36"/>
      <c r="D75" s="33"/>
      <c r="E75" s="36"/>
      <c r="F75" s="36"/>
      <c r="G75" s="36"/>
    </row>
    <row r="76" spans="1:7" x14ac:dyDescent="0.25">
      <c r="A76" s="35"/>
      <c r="B76" s="36"/>
      <c r="C76" s="36"/>
      <c r="D76" s="33"/>
      <c r="E76" s="36"/>
      <c r="F76" s="36"/>
      <c r="G76" s="36"/>
    </row>
    <row r="77" spans="1:7" x14ac:dyDescent="0.25">
      <c r="A77" s="35"/>
      <c r="B77" s="36"/>
      <c r="C77" s="36"/>
      <c r="D77" s="33"/>
      <c r="E77" s="36"/>
      <c r="F77" s="36"/>
      <c r="G77" s="36"/>
    </row>
    <row r="78" spans="1:7" x14ac:dyDescent="0.25">
      <c r="A78" s="35"/>
      <c r="B78" s="36"/>
      <c r="C78" s="36"/>
      <c r="D78" s="33"/>
      <c r="E78" s="36"/>
      <c r="F78" s="36"/>
      <c r="G78" s="36"/>
    </row>
    <row r="79" spans="1:7" x14ac:dyDescent="0.25">
      <c r="A79" s="35"/>
      <c r="B79" s="36"/>
      <c r="C79" s="36"/>
      <c r="D79" s="33"/>
      <c r="E79" s="36"/>
      <c r="F79" s="36"/>
      <c r="G79" s="36"/>
    </row>
    <row r="80" spans="1:7" x14ac:dyDescent="0.25">
      <c r="A80" s="35"/>
      <c r="B80" s="36"/>
      <c r="C80" s="36"/>
      <c r="D80" s="33"/>
      <c r="E80" s="36"/>
      <c r="F80" s="36"/>
      <c r="G80" s="36"/>
    </row>
  </sheetData>
  <sheetProtection algorithmName="SHA-512" hashValue="FzyNx+6fMdbnE5U7chwfc9ksWxUayZgHrbep2RYybbHXrVJxpDH3ElLy2q79IyHGPXQcvAox1MalZUlxBhgB6w==" saltValue="ActRqLrgZjWctoF2y9Beyw==" spinCount="100000" sheet="1" objects="1" scenarios="1"/>
  <mergeCells count="5">
    <mergeCell ref="C1:F1"/>
    <mergeCell ref="C2:F2"/>
    <mergeCell ref="B4:E4"/>
    <mergeCell ref="B5:E5"/>
    <mergeCell ref="B6:E6"/>
  </mergeCells>
  <conditionalFormatting sqref="E18 M18 G18:I18 K18">
    <cfRule type="cellIs" dxfId="77" priority="7" stopIfTrue="1" operator="notBetween">
      <formula>$B$23</formula>
      <formula>1.25*thk</formula>
    </cfRule>
  </conditionalFormatting>
  <conditionalFormatting sqref="E24 M24 G24 I24 K24">
    <cfRule type="cellIs" dxfId="76" priority="8" stopIfTrue="1" operator="greaterThan">
      <formula>$B$21</formula>
    </cfRule>
  </conditionalFormatting>
  <conditionalFormatting sqref="E14 M14 G14:I14 K14">
    <cfRule type="cellIs" dxfId="75" priority="9" stopIfTrue="1" operator="equal">
      <formula>"ROLLER TOO HIGH!"</formula>
    </cfRule>
  </conditionalFormatting>
  <conditionalFormatting sqref="N24">
    <cfRule type="cellIs" dxfId="74" priority="10" stopIfTrue="1" operator="equal">
      <formula>"NOT ENOUGH FORCE!"</formula>
    </cfRule>
  </conditionalFormatting>
  <conditionalFormatting sqref="C25">
    <cfRule type="cellIs" dxfId="73" priority="11" stopIfTrue="1" operator="equal">
      <formula>"WILL NOT STRAIGHTEN"</formula>
    </cfRule>
    <cfRule type="cellIs" dxfId="72" priority="12" stopIfTrue="1" operator="equal">
      <formula>"OK"</formula>
    </cfRule>
  </conditionalFormatting>
  <conditionalFormatting sqref="C26">
    <cfRule type="cellIs" dxfId="71" priority="13" stopIfTrue="1" operator="equal">
      <formula>"NOT ENOUGH FORCE"</formula>
    </cfRule>
    <cfRule type="cellIs" dxfId="70" priority="14" stopIfTrue="1" operator="equal">
      <formula>"OK"</formula>
    </cfRule>
  </conditionalFormatting>
  <conditionalFormatting sqref="E26">
    <cfRule type="cellIs" dxfId="69" priority="1" operator="between">
      <formula>47%</formula>
      <formula>70%</formula>
    </cfRule>
    <cfRule type="cellIs" dxfId="68" priority="2" operator="greaterThan">
      <formula>70%</formula>
    </cfRule>
    <cfRule type="cellIs" dxfId="67" priority="3" operator="lessThan">
      <formula>47%</formula>
    </cfRule>
  </conditionalFormatting>
  <dataValidations count="1">
    <dataValidation errorTitle="Roller Depth too great" error="You have engaged the rollers too far." sqref="M18 K18 G18:I18 E18" xr:uid="{7FFF6B54-627A-42B9-A0D2-B42022B013B0}"/>
  </dataValidations>
  <pageMargins left="0.75" right="0.75" top="1" bottom="1" header="0.5" footer="0.5"/>
  <pageSetup scale="60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1508" r:id="rId4" name="CommandButton1">
          <controlPr locked="0" defaultSize="0" autoLine="0" autoPict="0" r:id="rId5">
            <anchor moveWithCells="1" sizeWithCells="1">
              <from>
                <xdr:col>3</xdr:col>
                <xdr:colOff>0</xdr:colOff>
                <xdr:row>14</xdr:row>
                <xdr:rowOff>0</xdr:rowOff>
              </from>
              <to>
                <xdr:col>4</xdr:col>
                <xdr:colOff>0</xdr:colOff>
                <xdr:row>15</xdr:row>
                <xdr:rowOff>180975</xdr:rowOff>
              </to>
            </anchor>
          </controlPr>
        </control>
      </mc:Choice>
      <mc:Fallback>
        <control shapeId="21508" r:id="rId4" name="CommandButton1"/>
      </mc:Fallback>
    </mc:AlternateContent>
    <mc:AlternateContent xmlns:mc="http://schemas.openxmlformats.org/markup-compatibility/2006">
      <mc:Choice Requires="x14">
        <control shapeId="21505" r:id="rId6" name="Spinner 1">
          <controlPr locked="0" defaultSize="0" autoPict="0">
            <anchor moveWithCells="1" sizeWithCells="1">
              <from>
                <xdr:col>4</xdr:col>
                <xdr:colOff>9525</xdr:colOff>
                <xdr:row>14</xdr:row>
                <xdr:rowOff>0</xdr:rowOff>
              </from>
              <to>
                <xdr:col>5</xdr:col>
                <xdr:colOff>0</xdr:colOff>
                <xdr:row>15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15" r:id="rId7" name="Button 11">
          <controlPr defaultSize="0" print="0" autoFill="0" autoPict="0" macro="[0]!Tbl_Contents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314325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16" r:id="rId8" name="Check Box 12">
          <controlPr defaultSize="0" autoFill="0" autoLine="0" autoPict="0" altText="Confirmed">
            <anchor moveWithCells="1">
              <from>
                <xdr:col>1</xdr:col>
                <xdr:colOff>104775</xdr:colOff>
                <xdr:row>27</xdr:row>
                <xdr:rowOff>142875</xdr:rowOff>
              </from>
              <to>
                <xdr:col>1</xdr:col>
                <xdr:colOff>847725</xdr:colOff>
                <xdr:row>27</xdr:row>
                <xdr:rowOff>457200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17" r:id="rId9" name="Button 13">
          <controlPr defaultSize="0" print="0" autoFill="0" autoPict="0" macro="[0]!JumpToFeed">
            <anchor moveWithCells="1" sizeWithCells="1">
              <from>
                <xdr:col>13</xdr:col>
                <xdr:colOff>200025</xdr:colOff>
                <xdr:row>19</xdr:row>
                <xdr:rowOff>266700</xdr:rowOff>
              </from>
              <to>
                <xdr:col>15</xdr:col>
                <xdr:colOff>66675</xdr:colOff>
                <xdr:row>20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18" r:id="rId10" name="Button 14">
          <controlPr defaultSize="0" print="0" autoFill="0" autoPict="0" macro="[0]!JumpToTDDBHD">
            <anchor moveWithCells="1" sizeWithCells="1">
              <from>
                <xdr:col>13</xdr:col>
                <xdr:colOff>200025</xdr:colOff>
                <xdr:row>18</xdr:row>
                <xdr:rowOff>200025</xdr:rowOff>
              </from>
              <to>
                <xdr:col>15</xdr:col>
                <xdr:colOff>57150</xdr:colOff>
                <xdr:row>19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19" r:id="rId11" name="Button 15">
          <controlPr defaultSize="0" print="0" autoFill="0" autoPict="0" macro="[0]!JumpToStrUtility">
            <anchor moveWithCells="1" sizeWithCells="1">
              <from>
                <xdr:col>13</xdr:col>
                <xdr:colOff>190500</xdr:colOff>
                <xdr:row>19</xdr:row>
                <xdr:rowOff>76200</xdr:rowOff>
              </from>
              <to>
                <xdr:col>15</xdr:col>
                <xdr:colOff>66675</xdr:colOff>
                <xdr:row>19</xdr:row>
                <xdr:rowOff>257175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20" r:id="rId12" name="Button 16">
          <controlPr defaultSize="0" print="0" autoFill="0" autoPict="0" macro="[0]!JumpToEquipmentSummary">
            <anchor moveWithCells="1" sizeWithCells="1">
              <from>
                <xdr:col>13</xdr:col>
                <xdr:colOff>190500</xdr:colOff>
                <xdr:row>18</xdr:row>
                <xdr:rowOff>0</xdr:rowOff>
              </from>
              <to>
                <xdr:col>15</xdr:col>
                <xdr:colOff>66675</xdr:colOff>
                <xdr:row>18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21" r:id="rId13" name="Button 17">
          <controlPr defaultSize="0" print="0" autoFill="0" autoPict="0" macro="[0]!JumpToRFQ">
            <anchor moveWithCells="1" sizeWithCells="1">
              <from>
                <xdr:col>13</xdr:col>
                <xdr:colOff>190500</xdr:colOff>
                <xdr:row>16</xdr:row>
                <xdr:rowOff>85725</xdr:rowOff>
              </from>
              <to>
                <xdr:col>15</xdr:col>
                <xdr:colOff>66675</xdr:colOff>
                <xdr:row>17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22" r:id="rId14" name="Button 18">
          <controlPr defaultSize="0" print="0" autoFill="0" autoPict="0" macro="[0]!JumpToMaterialSpecs">
            <anchor moveWithCells="1" sizeWithCells="1">
              <from>
                <xdr:col>13</xdr:col>
                <xdr:colOff>190500</xdr:colOff>
                <xdr:row>17</xdr:row>
                <xdr:rowOff>76200</xdr:rowOff>
              </from>
              <to>
                <xdr:col>15</xdr:col>
                <xdr:colOff>66675</xdr:colOff>
                <xdr:row>17</xdr:row>
                <xdr:rowOff>266700</xdr:rowOff>
              </to>
            </anchor>
          </controlPr>
        </control>
      </mc:Choice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B7F42B-9364-4226-B846-1E2610C8C5DC}">
  <sheetPr codeName="Sheet17">
    <tabColor rgb="FF66FFFF"/>
    <pageSetUpPr fitToPage="1"/>
  </sheetPr>
  <dimension ref="A1:Q80"/>
  <sheetViews>
    <sheetView zoomScale="85" workbookViewId="0">
      <selection activeCell="B28" sqref="B28"/>
    </sheetView>
  </sheetViews>
  <sheetFormatPr defaultRowHeight="15" x14ac:dyDescent="0.25"/>
  <cols>
    <col min="1" max="1" width="21.5703125" customWidth="1"/>
    <col min="2" max="2" width="15.5703125" customWidth="1"/>
    <col min="3" max="4" width="15.140625" customWidth="1"/>
    <col min="5" max="5" width="14.7109375" customWidth="1"/>
    <col min="6" max="6" width="13" customWidth="1"/>
    <col min="7" max="9" width="14.140625" customWidth="1"/>
    <col min="10" max="12" width="12.42578125" customWidth="1"/>
    <col min="13" max="13" width="14.140625" customWidth="1"/>
    <col min="14" max="14" width="12.7109375" customWidth="1"/>
  </cols>
  <sheetData>
    <row r="1" spans="1:13" ht="15.75" x14ac:dyDescent="0.25">
      <c r="A1" s="33"/>
      <c r="B1" s="33"/>
      <c r="C1" s="999" t="s">
        <v>0</v>
      </c>
      <c r="D1" s="999"/>
      <c r="E1" s="999"/>
      <c r="F1" s="999"/>
      <c r="G1" s="33"/>
      <c r="H1" s="33"/>
      <c r="I1" s="33"/>
      <c r="J1" s="33"/>
      <c r="K1" s="33"/>
      <c r="L1" s="33"/>
      <c r="M1" s="33"/>
    </row>
    <row r="2" spans="1:13" x14ac:dyDescent="0.25">
      <c r="A2" s="33"/>
      <c r="B2" s="33"/>
      <c r="C2" s="1000" t="s">
        <v>372</v>
      </c>
      <c r="D2" s="1000"/>
      <c r="E2" s="1000"/>
      <c r="F2" s="1000"/>
      <c r="G2" s="33"/>
      <c r="H2" s="33"/>
      <c r="I2" s="33"/>
      <c r="J2" s="33"/>
      <c r="K2" s="33"/>
      <c r="L2" s="33"/>
      <c r="M2" s="33"/>
    </row>
    <row r="4" spans="1:13" x14ac:dyDescent="0.25">
      <c r="A4" s="143" t="s">
        <v>1</v>
      </c>
      <c r="B4" s="1001" t="str">
        <f>Customer</f>
        <v>ULTRATECH TOOL&amp; DESIGN, INC.</v>
      </c>
      <c r="C4" s="1001"/>
      <c r="D4" s="1001"/>
      <c r="E4" s="1001"/>
      <c r="F4" s="33"/>
      <c r="G4" s="33"/>
      <c r="H4" s="33"/>
      <c r="I4" s="33"/>
      <c r="J4" s="33"/>
      <c r="K4" s="33"/>
      <c r="L4" s="33"/>
      <c r="M4" s="33"/>
    </row>
    <row r="5" spans="1:13" x14ac:dyDescent="0.25">
      <c r="A5" s="143" t="s">
        <v>2</v>
      </c>
      <c r="B5" s="1002">
        <f>CalcDate</f>
        <v>0</v>
      </c>
      <c r="C5" s="1001"/>
      <c r="D5" s="1001"/>
      <c r="E5" s="1001"/>
      <c r="F5" s="33"/>
      <c r="G5" s="33"/>
      <c r="H5" s="33"/>
      <c r="I5" s="33"/>
      <c r="J5" s="33"/>
      <c r="K5" s="33"/>
      <c r="L5" s="33"/>
      <c r="M5" s="33"/>
    </row>
    <row r="6" spans="1:13" x14ac:dyDescent="0.25">
      <c r="A6" s="143" t="s">
        <v>3</v>
      </c>
      <c r="B6" s="1001">
        <f>Reference</f>
        <v>0</v>
      </c>
      <c r="C6" s="1001"/>
      <c r="D6" s="1001"/>
      <c r="E6" s="1001"/>
      <c r="F6" s="33"/>
      <c r="G6" s="33"/>
      <c r="H6" s="33"/>
      <c r="I6" s="33"/>
      <c r="J6" s="33"/>
      <c r="K6" s="33"/>
      <c r="L6" s="33"/>
      <c r="M6" s="33"/>
    </row>
    <row r="8" spans="1:13" ht="16.5" customHeight="1" x14ac:dyDescent="0.25">
      <c r="A8" s="146"/>
      <c r="B8" s="147"/>
      <c r="C8" s="148"/>
      <c r="D8" s="123" t="s">
        <v>366</v>
      </c>
      <c r="E8" s="132">
        <v>-60</v>
      </c>
      <c r="F8" s="33" t="s">
        <v>365</v>
      </c>
      <c r="G8" s="33"/>
      <c r="H8" s="33"/>
      <c r="I8" s="33"/>
      <c r="J8" s="33"/>
      <c r="K8" s="33"/>
      <c r="L8" s="33"/>
      <c r="M8" s="33"/>
    </row>
    <row r="9" spans="1:13" x14ac:dyDescent="0.25">
      <c r="A9" s="149"/>
      <c r="B9" s="141"/>
      <c r="C9" s="148"/>
      <c r="D9" s="123" t="s">
        <v>364</v>
      </c>
      <c r="E9" s="132">
        <f>IF(ABS(1/$E$8)&gt;curv_at_yld, 1/((1/$E$8)-((ABS($E$8)/$E$8)*(1.5*(1-$F$32))*curv_at_yld*(1-((1/3)*(curv_at_yld/(1/$E$8))^2)))), IF($F$32=0, ABS($E$8)/$E$8*99999, $E$8/$F$32))</f>
        <v>-181.81818181818181</v>
      </c>
      <c r="F9" s="33" t="s">
        <v>363</v>
      </c>
      <c r="G9" s="33"/>
      <c r="H9" s="33"/>
      <c r="I9" s="33"/>
      <c r="J9" s="33"/>
      <c r="K9" s="33"/>
      <c r="L9" s="33"/>
      <c r="M9" s="33"/>
    </row>
    <row r="10" spans="1:13" ht="15.75" thickBot="1" x14ac:dyDescent="0.3">
      <c r="A10" s="33"/>
      <c r="B10" s="33"/>
      <c r="C10" s="33"/>
      <c r="D10" s="123" t="s">
        <v>362</v>
      </c>
      <c r="E10" s="138">
        <f>1/$E$9</f>
        <v>-5.5000000000000005E-3</v>
      </c>
      <c r="F10" s="33"/>
      <c r="G10" s="33"/>
      <c r="H10" s="33"/>
      <c r="I10" s="33"/>
      <c r="J10" s="33"/>
      <c r="K10" s="33"/>
      <c r="L10" s="33"/>
      <c r="M10" s="33"/>
    </row>
    <row r="11" spans="1:13" x14ac:dyDescent="0.25">
      <c r="A11" s="140" t="s">
        <v>361</v>
      </c>
      <c r="B11" s="139">
        <f>CoilWidth_2</f>
        <v>16</v>
      </c>
      <c r="C11" s="33" t="s">
        <v>336</v>
      </c>
      <c r="D11" s="123" t="s">
        <v>360</v>
      </c>
      <c r="E11" s="138">
        <f>2*yield/(thk*modulus)</f>
        <v>2.2988505747126436E-2</v>
      </c>
      <c r="F11" s="33"/>
      <c r="G11" s="33"/>
      <c r="H11" s="33"/>
      <c r="I11" s="33"/>
      <c r="J11" s="33"/>
      <c r="K11" s="33"/>
      <c r="L11" s="33"/>
      <c r="M11" s="33"/>
    </row>
    <row r="12" spans="1:13" x14ac:dyDescent="0.25">
      <c r="A12" s="135" t="s">
        <v>359</v>
      </c>
      <c r="B12" s="137">
        <f>Thickness_2</f>
        <v>0.3</v>
      </c>
      <c r="C12" s="36" t="s">
        <v>336</v>
      </c>
      <c r="D12" s="136" t="s">
        <v>358</v>
      </c>
      <c r="E12" s="132">
        <f>1/curv_at_yld</f>
        <v>43.5</v>
      </c>
      <c r="F12" s="33" t="s">
        <v>357</v>
      </c>
      <c r="G12" s="33"/>
      <c r="H12" s="33"/>
      <c r="I12" s="33"/>
      <c r="J12" s="33"/>
      <c r="K12" s="33"/>
      <c r="L12" s="33"/>
      <c r="M12" s="33"/>
    </row>
    <row r="13" spans="1:13" x14ac:dyDescent="0.25">
      <c r="A13" s="135" t="s">
        <v>356</v>
      </c>
      <c r="B13" s="437">
        <f>YieldStrength_2</f>
        <v>100000</v>
      </c>
      <c r="C13" s="130" t="s">
        <v>11</v>
      </c>
      <c r="D13" s="133" t="s">
        <v>355</v>
      </c>
      <c r="E13" s="132">
        <f>width*yield*(thk^2)/6</f>
        <v>24000</v>
      </c>
      <c r="F13" s="33" t="s">
        <v>354</v>
      </c>
      <c r="G13" s="33"/>
      <c r="H13" s="33"/>
      <c r="I13" s="33"/>
      <c r="J13" s="33"/>
      <c r="K13" s="33"/>
      <c r="L13" s="33"/>
      <c r="M13" s="33"/>
    </row>
    <row r="14" spans="1:13" ht="17.25" customHeight="1" x14ac:dyDescent="0.25">
      <c r="A14" s="131" t="s">
        <v>353</v>
      </c>
      <c r="B14" s="441" t="str">
        <f>Material_2</f>
        <v>HS Steel</v>
      </c>
      <c r="C14" s="130"/>
      <c r="D14" s="130"/>
      <c r="E14" s="129" t="str">
        <f>IF(E21&gt;0,"", "ROLLER TOO HIGH!")</f>
        <v/>
      </c>
      <c r="F14" s="33"/>
      <c r="G14" s="129" t="str">
        <f>IF(G21&gt;0,"", "ROLLER TOO HIGH!")</f>
        <v/>
      </c>
      <c r="H14" s="129"/>
      <c r="I14" s="129" t="str">
        <f>IF(I21&gt;0,"", "ROLLER TOO HIGH!")</f>
        <v/>
      </c>
      <c r="J14" s="33"/>
      <c r="K14" s="129" t="str">
        <f>IF(K21&gt;0,"", "ROLLER TOO HIGH!")</f>
        <v/>
      </c>
      <c r="L14" s="33"/>
      <c r="M14" s="129" t="str">
        <f>IF(M21&gt;0,"", "ROLLER TOO HIGH!")</f>
        <v/>
      </c>
    </row>
    <row r="15" spans="1:13" ht="17.25" customHeight="1" thickBot="1" x14ac:dyDescent="0.3">
      <c r="A15" s="151" t="s">
        <v>369</v>
      </c>
      <c r="B15" s="441" t="str">
        <f>'Str. Utility (2)'!model</f>
        <v>CPPS-507</v>
      </c>
      <c r="C15" s="36"/>
      <c r="D15" s="33"/>
      <c r="E15" s="33"/>
      <c r="F15" s="33"/>
      <c r="G15" s="33"/>
      <c r="H15" s="33"/>
      <c r="I15" s="33"/>
      <c r="J15" s="33"/>
      <c r="K15" s="33"/>
      <c r="L15" s="33"/>
      <c r="M15" s="33"/>
    </row>
    <row r="16" spans="1:13" ht="15" customHeight="1" thickBot="1" x14ac:dyDescent="0.3">
      <c r="A16" s="68"/>
      <c r="B16" s="33"/>
      <c r="C16" s="36"/>
      <c r="D16" s="33"/>
      <c r="E16" s="152">
        <v>9962.6321440776101</v>
      </c>
      <c r="F16" s="33"/>
      <c r="G16" s="46"/>
      <c r="H16" s="46"/>
      <c r="I16" s="46"/>
      <c r="J16" s="33"/>
      <c r="K16" s="33"/>
      <c r="L16" s="33"/>
      <c r="M16" s="46"/>
    </row>
    <row r="17" spans="1:17" ht="15.75" thickBot="1" x14ac:dyDescent="0.3">
      <c r="A17" s="123"/>
      <c r="B17" s="33"/>
      <c r="C17" s="33"/>
      <c r="D17" s="122"/>
      <c r="E17" s="121" t="s">
        <v>351</v>
      </c>
      <c r="F17" s="119"/>
      <c r="G17" s="120" t="s">
        <v>350</v>
      </c>
      <c r="H17" s="120"/>
      <c r="I17" s="120" t="s">
        <v>350</v>
      </c>
      <c r="J17" s="119"/>
      <c r="K17" s="120" t="s">
        <v>350</v>
      </c>
      <c r="L17" s="166"/>
      <c r="M17" s="118" t="s">
        <v>349</v>
      </c>
      <c r="N17" s="33"/>
      <c r="O17" s="33"/>
      <c r="P17" s="33"/>
      <c r="Q17" s="65"/>
    </row>
    <row r="18" spans="1:17" ht="21.75" customHeight="1" x14ac:dyDescent="0.25">
      <c r="A18" s="153" t="s">
        <v>348</v>
      </c>
      <c r="B18" s="116">
        <f>VLOOKUP($B$15,LookupStrModel,2,FALSE)</f>
        <v>5</v>
      </c>
      <c r="C18" s="71" t="s">
        <v>336</v>
      </c>
      <c r="D18" s="154" t="s">
        <v>370</v>
      </c>
      <c r="E18" s="114">
        <f>IF((E16-10000)/1000&lt;$B23, "TOO DEEP!", (E16-10000)/1000)</f>
        <v>-3.7367855922389934E-2</v>
      </c>
      <c r="F18" s="112"/>
      <c r="G18" s="113">
        <f>E18+((M18-E18)/4)</f>
        <v>3.1974108058207551E-2</v>
      </c>
      <c r="H18" s="155"/>
      <c r="I18" s="113">
        <f>G18+((M18-E18)/4)</f>
        <v>0.10131607203880504</v>
      </c>
      <c r="J18" s="112"/>
      <c r="K18" s="113">
        <f>I18+((M18-E18)/4)</f>
        <v>0.17065803601940252</v>
      </c>
      <c r="L18" s="167"/>
      <c r="M18" s="111">
        <f>thk*0.8</f>
        <v>0.24</v>
      </c>
      <c r="N18" s="33"/>
      <c r="O18" s="33"/>
      <c r="P18" s="33"/>
      <c r="Q18" s="33"/>
    </row>
    <row r="19" spans="1:17" ht="25.5" x14ac:dyDescent="0.25">
      <c r="A19" s="131" t="s">
        <v>346</v>
      </c>
      <c r="B19" s="98">
        <f>VLOOKUP($B$15,LookupStrModel,3,FALSE)</f>
        <v>9</v>
      </c>
      <c r="C19" s="71" t="s">
        <v>336</v>
      </c>
      <c r="D19" s="156" t="s">
        <v>345</v>
      </c>
      <c r="E19" s="109">
        <f>(1.314-$D$31*thk+$D$32*E18)*((-0.25*cent_dist^2)-(E18^2)+(2*E18*thk)-thk^2)/(4*(E18+0.00000001)-4*thk)</f>
        <v>19.727046130208169</v>
      </c>
      <c r="F19" s="93">
        <f>-E19</f>
        <v>-19.727046130208169</v>
      </c>
      <c r="G19" s="93">
        <f>((-0.25*cent_dist^2)-(G$18^2)+(2*G$18*thk)-thk^2)/(4*(G$18+0.00000001)-4*thk)</f>
        <v>18.955107741390172</v>
      </c>
      <c r="H19" s="93">
        <f>-G19</f>
        <v>-18.955107741390172</v>
      </c>
      <c r="I19" s="93">
        <f>((-0.25*cent_dist^2)-(I$18^2)+(2*I$18*thk)-thk^2)/(4*(I$18+0.00000001)-4*thk)</f>
        <v>25.529840954707812</v>
      </c>
      <c r="J19" s="93">
        <f>-I19</f>
        <v>-25.529840954707812</v>
      </c>
      <c r="K19" s="93">
        <f>((-0.25*cent_dist^2)-(K$18^2)+(2*K$18*thk)-thk^2)/(4*(K$18+0.00000001)-4*thk)</f>
        <v>39.17276784508482</v>
      </c>
      <c r="L19" s="93">
        <f>-K19</f>
        <v>-39.17276784508482</v>
      </c>
      <c r="M19" s="108">
        <f>(1.314-$D$31*thk+$D$32*M18)*((-0.25*cent_dist^2)-(M18^2)+(2*M18*thk)-thk^2)/(4*(M18+0.00000001)-4*thk)</f>
        <v>114.53412708902118</v>
      </c>
      <c r="N19" s="33"/>
      <c r="O19" s="33"/>
      <c r="P19" s="33"/>
      <c r="Q19" s="33"/>
    </row>
    <row r="20" spans="1:17" ht="25.5" x14ac:dyDescent="0.25">
      <c r="A20" s="131" t="s">
        <v>344</v>
      </c>
      <c r="B20" s="107">
        <f>VLOOKUP($B$14,LookupMaterial,3, FALSE)</f>
        <v>29000000</v>
      </c>
      <c r="C20" s="71" t="s">
        <v>11</v>
      </c>
      <c r="D20" s="157" t="s">
        <v>343</v>
      </c>
      <c r="E20" s="105" t="s">
        <v>277</v>
      </c>
      <c r="F20" s="104" t="s">
        <v>278</v>
      </c>
      <c r="G20" s="104" t="s">
        <v>277</v>
      </c>
      <c r="H20" s="104" t="s">
        <v>278</v>
      </c>
      <c r="I20" s="104" t="s">
        <v>277</v>
      </c>
      <c r="J20" s="104" t="s">
        <v>278</v>
      </c>
      <c r="K20" s="104" t="s">
        <v>277</v>
      </c>
      <c r="L20" s="104" t="s">
        <v>278</v>
      </c>
      <c r="M20" s="103" t="s">
        <v>277</v>
      </c>
      <c r="N20" s="33"/>
      <c r="O20" s="33"/>
      <c r="P20" s="33"/>
      <c r="Q20" s="33"/>
    </row>
    <row r="21" spans="1:17" ht="27.75" customHeight="1" x14ac:dyDescent="0.25">
      <c r="A21" s="131" t="s">
        <v>342</v>
      </c>
      <c r="B21" s="158">
        <f>VLOOKUP($B$15,LookupStrModel,5,FALSE)</f>
        <v>60000</v>
      </c>
      <c r="C21" s="159" t="s">
        <v>341</v>
      </c>
      <c r="D21" s="156" t="s">
        <v>340</v>
      </c>
      <c r="E21" s="88">
        <f>1/E19-$E$10</f>
        <v>5.6191826510644832E-2</v>
      </c>
      <c r="F21" s="87">
        <f t="shared" ref="F21:L21" si="0">1/F19-1/E27</f>
        <v>-6.8824676748330427E-2</v>
      </c>
      <c r="G21" s="87">
        <f t="shared" si="0"/>
        <v>7.0247668186098677E-2</v>
      </c>
      <c r="H21" s="87">
        <f t="shared" si="0"/>
        <v>-7.2260643198701152E-2</v>
      </c>
      <c r="I21" s="87">
        <f t="shared" si="0"/>
        <v>5.8606636909033408E-2</v>
      </c>
      <c r="J21" s="87">
        <f t="shared" si="0"/>
        <v>-4.5625452720157861E-2</v>
      </c>
      <c r="K21" s="87">
        <f t="shared" si="0"/>
        <v>3.3133045352720103E-2</v>
      </c>
      <c r="L21" s="87">
        <f t="shared" si="0"/>
        <v>-2.2106358149749473E-2</v>
      </c>
      <c r="M21" s="86">
        <f>1/M19-1/J27</f>
        <v>1.6336129213010284E-2</v>
      </c>
      <c r="N21" s="33"/>
      <c r="O21" s="33"/>
      <c r="P21" s="33"/>
      <c r="Q21" s="33"/>
    </row>
    <row r="22" spans="1:17" ht="45" customHeight="1" x14ac:dyDescent="0.25">
      <c r="A22" s="160" t="s">
        <v>339</v>
      </c>
      <c r="B22" s="98">
        <f>VLOOKUP($B$15,LookupStrModel,6,FALSE)</f>
        <v>-1.25</v>
      </c>
      <c r="C22" s="71" t="s">
        <v>336</v>
      </c>
      <c r="D22" s="161" t="s">
        <v>338</v>
      </c>
      <c r="E22" s="94">
        <f t="shared" ref="E22:M22" si="1">IF(ABS(E21)&lt;curv_at_yld, (modulus*width*thk^3)/(12)*(E21), (ABS(E21)/E21)*1.5*My*(1-1/3*((curv_at_yld/E21)^2)))</f>
        <v>33991.571228969449</v>
      </c>
      <c r="F22" s="93">
        <f t="shared" si="1"/>
        <v>-34661.204106615129</v>
      </c>
      <c r="G22" s="93">
        <f t="shared" si="1"/>
        <v>34714.894132133872</v>
      </c>
      <c r="H22" s="93">
        <f t="shared" si="1"/>
        <v>-34785.495617591747</v>
      </c>
      <c r="I22" s="93">
        <f t="shared" si="1"/>
        <v>34153.670829822557</v>
      </c>
      <c r="J22" s="93">
        <f t="shared" si="1"/>
        <v>-32953.58995608172</v>
      </c>
      <c r="K22" s="93">
        <f>IF(ABS(K21)&lt;curv_at_yld, (modulus*width*thk^3)/(12)*(K21), (ABS(K21)/K21)*1.5*My*(1-1/3*((curv_at_yld/K21)^2)))</f>
        <v>30223.297230637199</v>
      </c>
      <c r="L22" s="93">
        <f>IF(ABS(L21)&lt;curv_at_yld, (modulus*width*thk^3)/(12)*(L21), (ABS(L21)/L21)*1.5*My*(1-1/3*((curv_at_yld/L21)^2)))</f>
        <v>-23079.037908338451</v>
      </c>
      <c r="M22" s="92">
        <f t="shared" si="1"/>
        <v>17054.918898382737</v>
      </c>
      <c r="N22" s="33"/>
      <c r="O22" s="33"/>
      <c r="P22" s="33"/>
      <c r="Q22" s="33"/>
    </row>
    <row r="23" spans="1:17" ht="45" customHeight="1" thickBot="1" x14ac:dyDescent="0.3">
      <c r="A23" s="162" t="s">
        <v>337</v>
      </c>
      <c r="B23" s="163">
        <f>IF((B$18+thk)^2-(cent_dist/2)^2&lt;0, B22, IF(B$18-SQRT((B$18+thk)^2-(cent_dist/2)^2)&lt;-B22, -B$18+SQRT((B$18+thk)^2-(cent_dist/2)^2), B22))</f>
        <v>-1.25</v>
      </c>
      <c r="C23" s="71" t="s">
        <v>336</v>
      </c>
      <c r="D23" s="156" t="s">
        <v>335</v>
      </c>
      <c r="E23" s="88">
        <f t="shared" ref="E23:M23" si="2">E22/My</f>
        <v>1.4163154678737271</v>
      </c>
      <c r="F23" s="87">
        <f t="shared" si="2"/>
        <v>-1.4442168377756304</v>
      </c>
      <c r="G23" s="87">
        <f t="shared" si="2"/>
        <v>1.4464539221722446</v>
      </c>
      <c r="H23" s="87">
        <f t="shared" si="2"/>
        <v>-1.4493956507329895</v>
      </c>
      <c r="I23" s="87">
        <f t="shared" si="2"/>
        <v>1.4230696179092732</v>
      </c>
      <c r="J23" s="87">
        <f t="shared" si="2"/>
        <v>-1.3730662481700717</v>
      </c>
      <c r="K23" s="87">
        <f>K22/My</f>
        <v>1.2593040512765499</v>
      </c>
      <c r="L23" s="87">
        <f>L22/My</f>
        <v>-0.96162657951410213</v>
      </c>
      <c r="M23" s="86">
        <f t="shared" si="2"/>
        <v>0.71062162076594737</v>
      </c>
      <c r="N23" s="33"/>
      <c r="O23" s="33"/>
      <c r="P23" s="33"/>
      <c r="Q23" s="33"/>
    </row>
    <row r="24" spans="1:17" ht="45" customHeight="1" thickBot="1" x14ac:dyDescent="0.3">
      <c r="A24" s="72"/>
      <c r="B24" s="71"/>
      <c r="C24" s="71"/>
      <c r="D24" s="156" t="s">
        <v>334</v>
      </c>
      <c r="E24" s="94">
        <f>E22*5.333/cent_dist</f>
        <v>20141.894373788229</v>
      </c>
      <c r="F24" s="93"/>
      <c r="G24" s="93">
        <f>G22*5.333/cent_dist</f>
        <v>20570.503378518883</v>
      </c>
      <c r="H24" s="93"/>
      <c r="I24" s="93">
        <f>I22*5.333/cent_dist</f>
        <v>20237.947392827078</v>
      </c>
      <c r="J24" s="93"/>
      <c r="K24" s="93">
        <f>K22*5.333/cent_dist</f>
        <v>17908.98268122091</v>
      </c>
      <c r="L24" s="93"/>
      <c r="M24" s="92">
        <f>M22*5.3333/cent_dist</f>
        <v>10106.55544008274</v>
      </c>
      <c r="N24" s="91" t="str">
        <f>IF(E24&gt;B21, "NOT ENOUGH FORCE!", IF(G24&gt;B21, "NOT ENOUGH FORCE!", IF(M24&gt;B21, "NOT ENOUGH FORCE!", "")))</f>
        <v/>
      </c>
      <c r="O24" s="33"/>
      <c r="P24" s="33"/>
      <c r="Q24" s="33"/>
    </row>
    <row r="25" spans="1:17" ht="50.25" customHeight="1" x14ac:dyDescent="0.25">
      <c r="A25" s="90" t="s">
        <v>333</v>
      </c>
      <c r="B25" s="89">
        <f>-(1.5*rad_at_yld-thk-SQRT(ABS(((1.5*rad_at_yld)^2)-(cent_dist/2)^2)))</f>
        <v>0.14464263670244293</v>
      </c>
      <c r="C25" s="81" t="str">
        <f>IF(B25&gt;B23, "OK", "WILL NOT STRAIGHTEN")</f>
        <v>OK</v>
      </c>
      <c r="D25" s="156" t="s">
        <v>332</v>
      </c>
      <c r="E25" s="88">
        <f t="shared" ref="E25:M25" si="3">-curv_at_yld*E23</f>
        <v>-3.2558976272959242E-2</v>
      </c>
      <c r="F25" s="87">
        <f t="shared" si="3"/>
        <v>3.3200387075301846E-2</v>
      </c>
      <c r="G25" s="87">
        <f t="shared" si="3"/>
        <v>-3.3251814302810219E-2</v>
      </c>
      <c r="H25" s="87">
        <f t="shared" si="3"/>
        <v>3.3319440246735388E-2</v>
      </c>
      <c r="I25" s="87">
        <f t="shared" si="3"/>
        <v>-3.2714244089868352E-2</v>
      </c>
      <c r="J25" s="87">
        <f t="shared" si="3"/>
        <v>3.1564741337243025E-2</v>
      </c>
      <c r="K25" s="87">
        <f t="shared" si="3"/>
        <v>-2.8949518420150571E-2</v>
      </c>
      <c r="L25" s="87">
        <f t="shared" si="3"/>
        <v>2.2106358149749473E-2</v>
      </c>
      <c r="M25" s="86">
        <f t="shared" si="3"/>
        <v>-1.6336129213010284E-2</v>
      </c>
      <c r="N25" s="33"/>
      <c r="O25" s="33"/>
      <c r="P25" s="33"/>
      <c r="Q25" s="33"/>
    </row>
    <row r="26" spans="1:17" ht="51.75" customHeight="1" x14ac:dyDescent="0.25">
      <c r="A26" s="626" t="s">
        <v>371</v>
      </c>
      <c r="B26" s="627">
        <f>(16*yield*width*thk^2)/(15*cent_dist)</f>
        <v>17066.666666666668</v>
      </c>
      <c r="C26" s="81" t="str">
        <f>IF(B26&lt;B21, "OK", "NOT ENOUGH FORCE")</f>
        <v>OK</v>
      </c>
      <c r="D26" s="156" t="s">
        <v>330</v>
      </c>
      <c r="E26" s="84">
        <f t="shared" ref="E26:M26" si="4">IF(curv_at_yld&lt;ABS(E21),1-ABS(curv_at_yld/E21), "NONE")</f>
        <v>0.59089235615483049</v>
      </c>
      <c r="F26" s="83">
        <f t="shared" si="4"/>
        <v>0.66598454459600354</v>
      </c>
      <c r="G26" s="83">
        <f t="shared" si="4"/>
        <v>0.67275062161172716</v>
      </c>
      <c r="H26" s="83">
        <f t="shared" si="4"/>
        <v>0.6818668540783257</v>
      </c>
      <c r="I26" s="83">
        <f t="shared" si="4"/>
        <v>0.60774910556959338</v>
      </c>
      <c r="J26" s="83">
        <f t="shared" si="4"/>
        <v>0.49614733933434829</v>
      </c>
      <c r="K26" s="83">
        <f t="shared" si="4"/>
        <v>0.30617588868150436</v>
      </c>
      <c r="L26" s="83" t="str">
        <f t="shared" si="4"/>
        <v>NONE</v>
      </c>
      <c r="M26" s="82" t="str">
        <f t="shared" si="4"/>
        <v>NONE</v>
      </c>
      <c r="N26" s="33"/>
      <c r="O26" s="33"/>
      <c r="P26" s="33"/>
      <c r="Q26" s="33"/>
    </row>
    <row r="27" spans="1:17" ht="51.75" customHeight="1" thickBot="1" x14ac:dyDescent="0.3">
      <c r="A27" s="624" t="s">
        <v>1119</v>
      </c>
      <c r="B27" s="628" t="str">
        <f>IF(AND(E26&gt;=BackbendMin, E26&lt;=BackbendMax), IF(AND(E26 &lt;= BackbendConfirm, B28=FALSE), BackbendNCText, BackbendOKText), BackbendNOText)</f>
        <v>OK</v>
      </c>
      <c r="C27" s="71"/>
      <c r="D27" s="164" t="s">
        <v>328</v>
      </c>
      <c r="E27" s="75">
        <f t="shared" ref="E27:L27" si="5">1/((1/E19)+E25)</f>
        <v>55.148528052236102</v>
      </c>
      <c r="F27" s="74">
        <f t="shared" si="5"/>
        <v>-57.170823687581269</v>
      </c>
      <c r="G27" s="74">
        <f t="shared" si="5"/>
        <v>51.270444579039214</v>
      </c>
      <c r="H27" s="74">
        <f t="shared" si="5"/>
        <v>-51.448828585707986</v>
      </c>
      <c r="I27" s="74">
        <f t="shared" si="5"/>
        <v>154.90416561839371</v>
      </c>
      <c r="J27" s="74">
        <f t="shared" si="5"/>
        <v>-131.4905879810596</v>
      </c>
      <c r="K27" s="74">
        <f t="shared" si="5"/>
        <v>-292.26262734933346</v>
      </c>
      <c r="L27" s="74">
        <f t="shared" si="5"/>
        <v>-292.26262734933346</v>
      </c>
      <c r="M27" s="165">
        <f>IF(ABS((1/M19)+M25)&lt;0.00001, "FLAT", 1/((1/M19)+M25))</f>
        <v>-131.49058798105963</v>
      </c>
      <c r="N27" s="33"/>
      <c r="O27" s="33"/>
      <c r="P27" s="33"/>
      <c r="Q27" s="33"/>
    </row>
    <row r="28" spans="1:17" ht="45" customHeight="1" x14ac:dyDescent="0.25">
      <c r="A28" s="72"/>
      <c r="B28" s="689" t="b">
        <v>0</v>
      </c>
      <c r="C28" s="71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</row>
    <row r="29" spans="1:17" x14ac:dyDescent="0.25">
      <c r="A29" s="33"/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</row>
    <row r="31" spans="1:17" x14ac:dyDescent="0.25">
      <c r="A31" s="46"/>
      <c r="B31" s="46"/>
      <c r="C31" s="46"/>
      <c r="D31" s="37"/>
      <c r="E31" s="68"/>
      <c r="F31" s="67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</row>
    <row r="32" spans="1:17" hidden="1" x14ac:dyDescent="0.25">
      <c r="A32" s="46"/>
      <c r="B32" s="46"/>
      <c r="C32" s="46" t="s">
        <v>169</v>
      </c>
      <c r="D32" s="37">
        <f>VLOOKUP($B$15,LookupStrModel,7,FALSE)</f>
        <v>0.18</v>
      </c>
      <c r="E32" s="68" t="s">
        <v>327</v>
      </c>
      <c r="F32" s="67">
        <v>0.33</v>
      </c>
      <c r="G32" s="33">
        <f>E19/H33</f>
        <v>1.129203330211916</v>
      </c>
      <c r="H32" s="33" t="s">
        <v>326</v>
      </c>
      <c r="I32" s="33" t="s">
        <v>293</v>
      </c>
      <c r="J32" s="33" t="s">
        <v>292</v>
      </c>
      <c r="K32" s="33" t="s">
        <v>291</v>
      </c>
      <c r="L32" s="33"/>
      <c r="M32" s="33"/>
      <c r="N32" s="33"/>
      <c r="O32" s="33"/>
      <c r="P32" s="33"/>
      <c r="Q32" s="33"/>
    </row>
    <row r="33" spans="1:13" hidden="1" x14ac:dyDescent="0.25">
      <c r="A33" s="46"/>
      <c r="B33" s="46"/>
      <c r="C33" s="46" t="s">
        <v>166</v>
      </c>
      <c r="D33" s="37">
        <f>VLOOKUP($B$15,LookupStrModel,8,FALSE)</f>
        <v>0.18</v>
      </c>
      <c r="E33" s="33"/>
      <c r="F33" s="33"/>
      <c r="G33" s="33"/>
      <c r="H33" s="65">
        <f>rad_at_yld/2.49</f>
        <v>17.469879518072286</v>
      </c>
      <c r="I33" s="65">
        <f>H33-(SQRT(((H33+(thk/4))^2)-((cent_dist/4)^2)))</f>
        <v>6.9870974865406055E-2</v>
      </c>
      <c r="J33" s="65">
        <f>ABS(I33)*-2 * 1.07</f>
        <v>-0.14952388621196896</v>
      </c>
      <c r="K33" s="65">
        <f>10000+(L41*1000)</f>
        <v>9962.6321440776101</v>
      </c>
      <c r="L33" s="33">
        <f>10000+(B22*1000)</f>
        <v>8750</v>
      </c>
      <c r="M33" s="33">
        <f>IF(K33&gt;L33,K33,L33)</f>
        <v>9962.6321440776101</v>
      </c>
    </row>
    <row r="34" spans="1:13" hidden="1" x14ac:dyDescent="0.25">
      <c r="A34" s="46"/>
      <c r="B34" s="46"/>
      <c r="C34" s="33"/>
      <c r="D34" s="33"/>
      <c r="E34" s="33"/>
      <c r="F34" s="33"/>
      <c r="G34" s="33"/>
      <c r="H34" s="33"/>
      <c r="I34" s="65">
        <f>H33-(SQRT(((H33+(thk/4))*((H33+(thk/4)))-(((cent_dist/4)*(cent_dist/4))))))</f>
        <v>6.9870974865406055E-2</v>
      </c>
      <c r="J34" s="33"/>
      <c r="K34" s="33"/>
      <c r="L34" s="33"/>
      <c r="M34" s="33"/>
    </row>
    <row r="35" spans="1:13" hidden="1" x14ac:dyDescent="0.25">
      <c r="A35" s="46"/>
      <c r="B35" s="46"/>
      <c r="C35" s="33"/>
      <c r="D35" s="33"/>
      <c r="E35" s="33"/>
      <c r="F35" s="33"/>
      <c r="G35" s="33"/>
      <c r="H35" s="33"/>
      <c r="I35" s="65">
        <f>(SQRT(((H33+(thk/4))*((H33+(thk/4)))-(((cent_dist/4)*(cent_dist/4))))))</f>
        <v>17.40000854320688</v>
      </c>
      <c r="J35" s="65">
        <f>I35-H33</f>
        <v>-6.9870974865406055E-2</v>
      </c>
      <c r="K35" s="33"/>
      <c r="L35" s="33"/>
      <c r="M35" s="33"/>
    </row>
    <row r="36" spans="1:13" hidden="1" x14ac:dyDescent="0.25">
      <c r="A36" s="46"/>
      <c r="B36" s="46"/>
      <c r="C36" s="33"/>
      <c r="D36" s="33"/>
      <c r="E36" s="33"/>
      <c r="F36" s="33"/>
      <c r="G36" s="33"/>
      <c r="H36" s="33"/>
      <c r="I36" s="33">
        <v>4</v>
      </c>
      <c r="J36" s="33">
        <v>8</v>
      </c>
      <c r="K36" s="33">
        <v>2</v>
      </c>
      <c r="L36" s="33">
        <v>3</v>
      </c>
      <c r="M36" s="33"/>
    </row>
    <row r="37" spans="1:13" hidden="1" x14ac:dyDescent="0.25">
      <c r="A37" s="46"/>
      <c r="B37" s="46"/>
      <c r="C37" s="33"/>
      <c r="D37" s="33"/>
      <c r="E37" s="33"/>
      <c r="F37" s="33"/>
      <c r="G37" s="33"/>
      <c r="H37" s="33" t="s">
        <v>276</v>
      </c>
      <c r="I37" s="65">
        <f>SQRT(((I39)^2)-((I38)^2))</f>
        <v>17.324381385087364</v>
      </c>
      <c r="J37" s="65">
        <f>SQRT(((J39)^2)-((J38)^2))</f>
        <v>17.433618826163475</v>
      </c>
      <c r="K37" s="65">
        <f>SQRT(((K39)^2)-((K38)^2))</f>
        <v>16.880364047494993</v>
      </c>
      <c r="L37" s="65">
        <f>SQRT(((L39)^2)-((L38)^2))</f>
        <v>17.21036578274737</v>
      </c>
      <c r="M37" s="33"/>
    </row>
    <row r="38" spans="1:13" hidden="1" x14ac:dyDescent="0.25">
      <c r="A38" s="33"/>
      <c r="B38" s="46"/>
      <c r="C38" s="33"/>
      <c r="D38" s="33"/>
      <c r="E38" s="33"/>
      <c r="F38" s="33"/>
      <c r="G38" s="33"/>
      <c r="H38" s="33" t="s">
        <v>271</v>
      </c>
      <c r="I38" s="65">
        <f>cent_dist/4</f>
        <v>2.25</v>
      </c>
      <c r="J38" s="65">
        <f>cent_dist/8</f>
        <v>1.125</v>
      </c>
      <c r="K38" s="65">
        <f>cent_dist/2</f>
        <v>4.5</v>
      </c>
      <c r="L38" s="65">
        <f>cent_dist/3</f>
        <v>3</v>
      </c>
      <c r="M38" s="33"/>
    </row>
    <row r="39" spans="1:13" hidden="1" x14ac:dyDescent="0.25">
      <c r="A39" s="33"/>
      <c r="B39" s="46"/>
      <c r="C39" s="33"/>
      <c r="D39" s="33"/>
      <c r="E39" s="33"/>
      <c r="F39" s="33"/>
      <c r="G39" s="33"/>
      <c r="H39" s="33" t="s">
        <v>325</v>
      </c>
      <c r="I39" s="65">
        <f>H33</f>
        <v>17.469879518072286</v>
      </c>
      <c r="J39" s="65">
        <f>H33</f>
        <v>17.469879518072286</v>
      </c>
      <c r="K39" s="65">
        <f>H33</f>
        <v>17.469879518072286</v>
      </c>
      <c r="L39" s="65">
        <f>H33</f>
        <v>17.469879518072286</v>
      </c>
      <c r="M39" s="33"/>
    </row>
    <row r="40" spans="1:13" hidden="1" x14ac:dyDescent="0.25">
      <c r="A40" s="33"/>
      <c r="B40" s="46"/>
      <c r="C40" s="33"/>
      <c r="D40" s="33"/>
      <c r="E40" s="33"/>
      <c r="F40" s="33"/>
      <c r="G40" s="33"/>
      <c r="H40" s="33" t="s">
        <v>324</v>
      </c>
      <c r="I40" s="65">
        <f>(I39-I37) *2</f>
        <v>0.29099626596984507</v>
      </c>
      <c r="J40" s="65">
        <f>(J39-J37) *4</f>
        <v>0.14504276763524615</v>
      </c>
      <c r="K40" s="65">
        <f>(K39-K37) *1</f>
        <v>0.58951547057729314</v>
      </c>
      <c r="L40" s="65">
        <f>(L39-L37) *1.3</f>
        <v>0.33736785592239044</v>
      </c>
      <c r="M40" s="33"/>
    </row>
    <row r="41" spans="1:13" hidden="1" x14ac:dyDescent="0.25">
      <c r="A41" s="33"/>
      <c r="B41" s="46"/>
      <c r="C41" s="33"/>
      <c r="D41" s="33"/>
      <c r="E41" s="33"/>
      <c r="F41" s="33"/>
      <c r="G41" s="33"/>
      <c r="H41" s="33" t="s">
        <v>263</v>
      </c>
      <c r="I41" s="65">
        <f>thk-I40</f>
        <v>9.0037340301549196E-3</v>
      </c>
      <c r="J41" s="65">
        <f>thk-J40</f>
        <v>0.15495723236475384</v>
      </c>
      <c r="K41" s="65">
        <f>thk-K40</f>
        <v>-0.28951547057729315</v>
      </c>
      <c r="L41" s="65">
        <f>thk-L40</f>
        <v>-3.7367855922390447E-2</v>
      </c>
      <c r="M41" s="33"/>
    </row>
    <row r="42" spans="1:13" hidden="1" x14ac:dyDescent="0.25">
      <c r="A42" s="33"/>
      <c r="B42" s="46"/>
      <c r="C42" s="33"/>
      <c r="D42" s="33"/>
      <c r="E42" s="33"/>
      <c r="F42" s="33"/>
      <c r="G42" s="33"/>
      <c r="H42" s="66">
        <f>E19</f>
        <v>19.727046130208169</v>
      </c>
      <c r="I42" s="65">
        <f>H42-(SQRT(((H42+(thk/4))^2)-((cent_dist/4)^2)))</f>
        <v>5.3242966028339112E-2</v>
      </c>
      <c r="J42" s="65">
        <f>ABS(I42)*-2</f>
        <v>-0.10648593205667822</v>
      </c>
      <c r="K42" s="33"/>
      <c r="L42" s="33"/>
      <c r="M42" s="33"/>
    </row>
    <row r="43" spans="1:13" hidden="1" x14ac:dyDescent="0.25">
      <c r="A43" s="33"/>
      <c r="B43" s="46"/>
      <c r="C43" s="33"/>
      <c r="D43" s="33"/>
      <c r="E43" s="33"/>
      <c r="F43" s="33"/>
      <c r="G43" s="33"/>
      <c r="H43" s="33"/>
      <c r="I43" s="33"/>
      <c r="J43" s="65">
        <f>E18/J42</f>
        <v>0.35091824056627979</v>
      </c>
      <c r="K43" s="33"/>
      <c r="L43" s="33"/>
      <c r="M43" s="33"/>
    </row>
    <row r="44" spans="1:13" hidden="1" x14ac:dyDescent="0.25">
      <c r="A44" s="33"/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 t="s">
        <v>323</v>
      </c>
      <c r="M44" s="33"/>
    </row>
    <row r="45" spans="1:13" hidden="1" x14ac:dyDescent="0.25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 t="s">
        <v>322</v>
      </c>
      <c r="M45" s="33"/>
    </row>
    <row r="46" spans="1:13" hidden="1" x14ac:dyDescent="0.25">
      <c r="A46" s="33"/>
      <c r="B46" s="46"/>
      <c r="C46" s="33"/>
      <c r="D46" s="33"/>
      <c r="E46" s="33"/>
      <c r="F46" s="33"/>
      <c r="G46" s="33"/>
      <c r="H46" s="33"/>
      <c r="I46" s="33"/>
      <c r="J46" s="33"/>
      <c r="K46" s="33"/>
      <c r="L46" s="33" t="s">
        <v>321</v>
      </c>
      <c r="M46" s="33"/>
    </row>
    <row r="47" spans="1:13" hidden="1" x14ac:dyDescent="0.25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 t="s">
        <v>320</v>
      </c>
      <c r="M47" s="33"/>
    </row>
    <row r="48" spans="1:13" hidden="1" x14ac:dyDescent="0.25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 t="s">
        <v>319</v>
      </c>
      <c r="M48" s="33"/>
    </row>
    <row r="49" spans="1:7" hidden="1" x14ac:dyDescent="0.25">
      <c r="A49" s="33"/>
      <c r="B49" s="33"/>
      <c r="C49" s="33"/>
      <c r="D49" s="33"/>
      <c r="E49" s="33"/>
      <c r="F49" s="33"/>
      <c r="G49" s="33"/>
    </row>
    <row r="50" spans="1:7" x14ac:dyDescent="0.25">
      <c r="A50" s="33"/>
      <c r="B50" s="33"/>
      <c r="C50" s="33"/>
      <c r="D50" s="33"/>
      <c r="E50" s="33"/>
      <c r="F50" s="33"/>
      <c r="G50" s="33"/>
    </row>
    <row r="51" spans="1:7" x14ac:dyDescent="0.25">
      <c r="A51" s="33"/>
      <c r="B51" s="33"/>
      <c r="C51" s="33"/>
      <c r="D51" s="33"/>
      <c r="E51" s="33"/>
      <c r="F51" s="33"/>
      <c r="G51" s="33"/>
    </row>
    <row r="52" spans="1:7" x14ac:dyDescent="0.25">
      <c r="A52" s="33"/>
      <c r="B52" s="33"/>
      <c r="C52" s="33"/>
      <c r="D52" s="33"/>
      <c r="E52" s="33"/>
      <c r="F52" s="33"/>
      <c r="G52" s="33"/>
    </row>
    <row r="53" spans="1:7" x14ac:dyDescent="0.25">
      <c r="A53" s="33"/>
      <c r="B53" s="33"/>
      <c r="C53" s="33"/>
      <c r="D53" s="33"/>
      <c r="E53" s="33"/>
      <c r="F53" s="33"/>
      <c r="G53" s="33"/>
    </row>
    <row r="54" spans="1:7" x14ac:dyDescent="0.25">
      <c r="A54" s="33"/>
      <c r="B54" s="33"/>
      <c r="C54" s="33"/>
      <c r="D54" s="33"/>
      <c r="E54" s="33"/>
      <c r="F54" s="33"/>
      <c r="G54" s="33"/>
    </row>
    <row r="55" spans="1:7" x14ac:dyDescent="0.25">
      <c r="A55" s="33"/>
      <c r="B55" s="33"/>
      <c r="C55" s="33"/>
      <c r="D55" s="33"/>
      <c r="E55" s="33"/>
      <c r="F55" s="33"/>
      <c r="G55" s="33"/>
    </row>
    <row r="56" spans="1:7" x14ac:dyDescent="0.25">
      <c r="A56" s="33"/>
      <c r="B56" s="33"/>
      <c r="C56" s="33"/>
      <c r="D56" s="33"/>
      <c r="E56" s="33"/>
      <c r="F56" s="33"/>
      <c r="G56" s="33"/>
    </row>
    <row r="57" spans="1:7" x14ac:dyDescent="0.25">
      <c r="A57" s="35"/>
      <c r="B57" s="36"/>
      <c r="C57" s="36"/>
      <c r="D57" s="33"/>
      <c r="E57" s="36"/>
      <c r="F57" s="36"/>
      <c r="G57" s="33"/>
    </row>
    <row r="58" spans="1:7" x14ac:dyDescent="0.25">
      <c r="A58" s="35"/>
      <c r="B58" s="36"/>
      <c r="C58" s="36"/>
      <c r="D58" s="33"/>
      <c r="E58" s="36"/>
      <c r="F58" s="36"/>
      <c r="G58" s="36"/>
    </row>
    <row r="59" spans="1:7" x14ac:dyDescent="0.25">
      <c r="A59" s="35"/>
      <c r="B59" s="36"/>
      <c r="C59" s="36"/>
      <c r="D59" s="33"/>
      <c r="E59" s="36"/>
      <c r="F59" s="36"/>
      <c r="G59" s="36"/>
    </row>
    <row r="60" spans="1:7" x14ac:dyDescent="0.25">
      <c r="A60" s="35"/>
      <c r="B60" s="36"/>
      <c r="C60" s="36"/>
      <c r="D60" s="33"/>
      <c r="E60" s="36"/>
      <c r="F60" s="36"/>
      <c r="G60" s="36"/>
    </row>
    <row r="61" spans="1:7" x14ac:dyDescent="0.25">
      <c r="A61" s="35"/>
      <c r="B61" s="36"/>
      <c r="C61" s="36"/>
      <c r="D61" s="33"/>
      <c r="E61" s="36"/>
      <c r="F61" s="36"/>
      <c r="G61" s="36"/>
    </row>
    <row r="62" spans="1:7" x14ac:dyDescent="0.25">
      <c r="A62" s="35"/>
      <c r="B62" s="36"/>
      <c r="C62" s="36"/>
      <c r="D62" s="33"/>
      <c r="E62" s="36"/>
      <c r="F62" s="36"/>
      <c r="G62" s="36"/>
    </row>
    <row r="63" spans="1:7" x14ac:dyDescent="0.25">
      <c r="A63" s="35"/>
      <c r="B63" s="36"/>
      <c r="C63" s="36"/>
      <c r="D63" s="33"/>
      <c r="E63" s="36"/>
      <c r="F63" s="36"/>
      <c r="G63" s="36"/>
    </row>
    <row r="64" spans="1:7" x14ac:dyDescent="0.25">
      <c r="A64" s="35"/>
      <c r="B64" s="36"/>
      <c r="C64" s="36"/>
      <c r="D64" s="33"/>
      <c r="E64" s="36"/>
      <c r="F64" s="33"/>
      <c r="G64" s="33"/>
    </row>
    <row r="65" spans="1:7" x14ac:dyDescent="0.25">
      <c r="A65" s="35"/>
      <c r="B65" s="36"/>
      <c r="C65" s="36"/>
      <c r="D65" s="33"/>
      <c r="E65" s="36"/>
      <c r="F65" s="36"/>
      <c r="G65" s="36"/>
    </row>
    <row r="66" spans="1:7" x14ac:dyDescent="0.25">
      <c r="A66" s="33"/>
      <c r="B66" s="33"/>
      <c r="C66" s="33"/>
      <c r="D66" s="33"/>
      <c r="E66" s="33"/>
      <c r="F66" s="33"/>
      <c r="G66" s="33"/>
    </row>
    <row r="67" spans="1:7" x14ac:dyDescent="0.25">
      <c r="A67" s="33"/>
      <c r="B67" s="33"/>
      <c r="C67" s="33"/>
      <c r="D67" s="33"/>
      <c r="E67" s="33"/>
      <c r="F67" s="33"/>
      <c r="G67" s="33"/>
    </row>
    <row r="68" spans="1:7" x14ac:dyDescent="0.25">
      <c r="A68" s="33"/>
      <c r="B68" s="33"/>
      <c r="C68" s="33"/>
      <c r="D68" s="33"/>
      <c r="E68" s="33"/>
      <c r="F68" s="33"/>
      <c r="G68" s="33"/>
    </row>
    <row r="69" spans="1:7" x14ac:dyDescent="0.25">
      <c r="A69" s="33"/>
      <c r="B69" s="33"/>
      <c r="C69" s="33"/>
      <c r="D69" s="33"/>
      <c r="E69" s="33"/>
      <c r="F69" s="33"/>
      <c r="G69" s="33"/>
    </row>
    <row r="70" spans="1:7" x14ac:dyDescent="0.25">
      <c r="A70" s="33"/>
      <c r="B70" s="33"/>
      <c r="C70" s="33"/>
      <c r="D70" s="33"/>
      <c r="E70" s="33"/>
      <c r="F70" s="33"/>
      <c r="G70" s="33"/>
    </row>
    <row r="71" spans="1:7" x14ac:dyDescent="0.25">
      <c r="A71" s="33"/>
      <c r="B71" s="33"/>
      <c r="C71" s="33"/>
      <c r="D71" s="33"/>
      <c r="E71" s="33"/>
      <c r="F71" s="33"/>
      <c r="G71" s="33"/>
    </row>
    <row r="72" spans="1:7" x14ac:dyDescent="0.25">
      <c r="A72" s="33"/>
      <c r="B72" s="33"/>
      <c r="C72" s="33"/>
      <c r="D72" s="33"/>
      <c r="E72" s="33"/>
      <c r="F72" s="33"/>
      <c r="G72" s="33"/>
    </row>
    <row r="73" spans="1:7" x14ac:dyDescent="0.25">
      <c r="A73" s="33"/>
      <c r="B73" s="33"/>
      <c r="C73" s="33"/>
      <c r="D73" s="33"/>
      <c r="E73" s="33"/>
      <c r="F73" s="33"/>
      <c r="G73" s="33"/>
    </row>
    <row r="74" spans="1:7" x14ac:dyDescent="0.25">
      <c r="A74" s="33"/>
      <c r="B74" s="33"/>
      <c r="C74" s="33"/>
      <c r="D74" s="33"/>
      <c r="E74" s="33"/>
      <c r="F74" s="33"/>
      <c r="G74" s="33"/>
    </row>
    <row r="75" spans="1:7" x14ac:dyDescent="0.25">
      <c r="A75" s="35"/>
      <c r="B75" s="36"/>
      <c r="C75" s="36"/>
      <c r="D75" s="33"/>
      <c r="E75" s="36"/>
      <c r="F75" s="36"/>
      <c r="G75" s="36"/>
    </row>
    <row r="76" spans="1:7" x14ac:dyDescent="0.25">
      <c r="A76" s="35"/>
      <c r="B76" s="36"/>
      <c r="C76" s="36"/>
      <c r="D76" s="33"/>
      <c r="E76" s="36"/>
      <c r="F76" s="36"/>
      <c r="G76" s="36"/>
    </row>
    <row r="77" spans="1:7" x14ac:dyDescent="0.25">
      <c r="A77" s="35"/>
      <c r="B77" s="36"/>
      <c r="C77" s="36"/>
      <c r="D77" s="33"/>
      <c r="E77" s="36"/>
      <c r="F77" s="36"/>
      <c r="G77" s="36"/>
    </row>
    <row r="78" spans="1:7" x14ac:dyDescent="0.25">
      <c r="A78" s="35"/>
      <c r="B78" s="36"/>
      <c r="C78" s="36"/>
      <c r="D78" s="33"/>
      <c r="E78" s="36"/>
      <c r="F78" s="36"/>
      <c r="G78" s="36"/>
    </row>
    <row r="79" spans="1:7" x14ac:dyDescent="0.25">
      <c r="A79" s="35"/>
      <c r="B79" s="36"/>
      <c r="C79" s="36"/>
      <c r="D79" s="33"/>
      <c r="E79" s="36"/>
      <c r="F79" s="36"/>
      <c r="G79" s="36"/>
    </row>
    <row r="80" spans="1:7" x14ac:dyDescent="0.25">
      <c r="A80" s="35"/>
      <c r="B80" s="36"/>
      <c r="C80" s="36"/>
      <c r="D80" s="33"/>
      <c r="E80" s="36"/>
      <c r="F80" s="36"/>
      <c r="G80" s="36"/>
    </row>
  </sheetData>
  <sheetProtection algorithmName="SHA-512" hashValue="o21SUTBkjTciRb9YOEAR/FwobYipFFBqDYSMYardz/yu2B4BacFhKqWzIHKPi4rTIoCtPy50aV63ivY1KXHQ0w==" saltValue="KgRZnByfZzpsVy+JN7UqNA==" spinCount="100000" sheet="1" objects="1" scenarios="1"/>
  <mergeCells count="5">
    <mergeCell ref="C1:F1"/>
    <mergeCell ref="C2:F2"/>
    <mergeCell ref="B4:E4"/>
    <mergeCell ref="B5:E5"/>
    <mergeCell ref="B6:E6"/>
  </mergeCells>
  <conditionalFormatting sqref="E18 M18 G18:I18 K18">
    <cfRule type="cellIs" dxfId="66" priority="7" stopIfTrue="1" operator="notBetween">
      <formula>$B$23</formula>
      <formula>1.25*thk</formula>
    </cfRule>
  </conditionalFormatting>
  <conditionalFormatting sqref="E24 M24 G24 I24 K24">
    <cfRule type="cellIs" dxfId="65" priority="8" stopIfTrue="1" operator="greaterThan">
      <formula>$B$21</formula>
    </cfRule>
  </conditionalFormatting>
  <conditionalFormatting sqref="E14 M14 G14:I14 K14">
    <cfRule type="cellIs" dxfId="64" priority="9" stopIfTrue="1" operator="equal">
      <formula>"ROLLER TOO HIGH!"</formula>
    </cfRule>
  </conditionalFormatting>
  <conditionalFormatting sqref="N24">
    <cfRule type="cellIs" dxfId="63" priority="10" stopIfTrue="1" operator="equal">
      <formula>"NOT ENOUGH FORCE!"</formula>
    </cfRule>
  </conditionalFormatting>
  <conditionalFormatting sqref="C25">
    <cfRule type="cellIs" dxfId="62" priority="11" stopIfTrue="1" operator="equal">
      <formula>"WILL NOT STRAIGHTEN"</formula>
    </cfRule>
    <cfRule type="cellIs" dxfId="61" priority="12" stopIfTrue="1" operator="equal">
      <formula>"OK"</formula>
    </cfRule>
  </conditionalFormatting>
  <conditionalFormatting sqref="C26">
    <cfRule type="cellIs" dxfId="60" priority="13" stopIfTrue="1" operator="equal">
      <formula>"NOT ENOUGH FORCE"</formula>
    </cfRule>
    <cfRule type="cellIs" dxfId="59" priority="14" stopIfTrue="1" operator="equal">
      <formula>"OK"</formula>
    </cfRule>
  </conditionalFormatting>
  <conditionalFormatting sqref="E26">
    <cfRule type="cellIs" dxfId="58" priority="1" operator="between">
      <formula>47%</formula>
      <formula>70%</formula>
    </cfRule>
    <cfRule type="cellIs" dxfId="57" priority="2" operator="greaterThan">
      <formula>70%</formula>
    </cfRule>
    <cfRule type="cellIs" dxfId="56" priority="3" operator="lessThan">
      <formula>47%</formula>
    </cfRule>
  </conditionalFormatting>
  <dataValidations count="1">
    <dataValidation errorTitle="Roller Depth too great" error="You have engaged the rollers too far." sqref="M18 K18 G18:I18 E18" xr:uid="{EB90BF7D-2747-4E35-871F-3AE690CC05FF}"/>
  </dataValidations>
  <pageMargins left="0.75" right="0.75" top="1" bottom="1" header="0.5" footer="0.5"/>
  <pageSetup scale="60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2532" r:id="rId4" name="CommandButton1">
          <controlPr locked="0" defaultSize="0" autoLine="0" autoPict="0" r:id="rId5">
            <anchor moveWithCells="1" sizeWithCells="1">
              <from>
                <xdr:col>3</xdr:col>
                <xdr:colOff>0</xdr:colOff>
                <xdr:row>14</xdr:row>
                <xdr:rowOff>19050</xdr:rowOff>
              </from>
              <to>
                <xdr:col>4</xdr:col>
                <xdr:colOff>0</xdr:colOff>
                <xdr:row>15</xdr:row>
                <xdr:rowOff>180975</xdr:rowOff>
              </to>
            </anchor>
          </controlPr>
        </control>
      </mc:Choice>
      <mc:Fallback>
        <control shapeId="22532" r:id="rId4" name="CommandButton1"/>
      </mc:Fallback>
    </mc:AlternateContent>
    <mc:AlternateContent xmlns:mc="http://schemas.openxmlformats.org/markup-compatibility/2006">
      <mc:Choice Requires="x14">
        <control shapeId="22529" r:id="rId6" name="Spinner 1">
          <controlPr locked="0" defaultSize="0" autoPict="0">
            <anchor moveWithCells="1" sizeWithCells="1">
              <from>
                <xdr:col>4</xdr:col>
                <xdr:colOff>9525</xdr:colOff>
                <xdr:row>14</xdr:row>
                <xdr:rowOff>19050</xdr:rowOff>
              </from>
              <to>
                <xdr:col>5</xdr:col>
                <xdr:colOff>0</xdr:colOff>
                <xdr:row>15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539" r:id="rId7" name="Button 11">
          <controlPr defaultSize="0" print="0" autoFill="0" autoPict="0" macro="[0]!Tbl_Contents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190500</xdr:colOff>
                <xdr:row>1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541" r:id="rId8" name="Check Box 13">
          <controlPr defaultSize="0" autoFill="0" autoLine="0" autoPict="0" altText="Confirmed">
            <anchor moveWithCells="1">
              <from>
                <xdr:col>1</xdr:col>
                <xdr:colOff>114300</xdr:colOff>
                <xdr:row>27</xdr:row>
                <xdr:rowOff>133350</xdr:rowOff>
              </from>
              <to>
                <xdr:col>1</xdr:col>
                <xdr:colOff>857250</xdr:colOff>
                <xdr:row>27</xdr:row>
                <xdr:rowOff>447675</xdr:rowOff>
              </to>
            </anchor>
          </controlPr>
        </control>
      </mc:Choice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9C8FF-FA9D-4953-AF8F-1056B865B2AC}">
  <sheetPr codeName="Sheet50">
    <tabColor rgb="FF66FFFF"/>
    <pageSetUpPr fitToPage="1"/>
  </sheetPr>
  <dimension ref="A1:Q80"/>
  <sheetViews>
    <sheetView zoomScale="85" workbookViewId="0">
      <selection activeCell="B28" sqref="B28"/>
    </sheetView>
  </sheetViews>
  <sheetFormatPr defaultRowHeight="15" x14ac:dyDescent="0.25"/>
  <cols>
    <col min="1" max="1" width="21.5703125" customWidth="1"/>
    <col min="2" max="2" width="15.5703125" customWidth="1"/>
    <col min="3" max="4" width="15.140625" customWidth="1"/>
    <col min="5" max="5" width="14.7109375" customWidth="1"/>
    <col min="6" max="6" width="13" customWidth="1"/>
    <col min="7" max="9" width="14.140625" customWidth="1"/>
    <col min="10" max="12" width="12.42578125" customWidth="1"/>
    <col min="13" max="13" width="14.140625" customWidth="1"/>
    <col min="14" max="14" width="12.7109375" customWidth="1"/>
  </cols>
  <sheetData>
    <row r="1" spans="1:13" ht="15.75" x14ac:dyDescent="0.25">
      <c r="A1" s="33"/>
      <c r="B1" s="33"/>
      <c r="C1" s="999" t="s">
        <v>0</v>
      </c>
      <c r="D1" s="999"/>
      <c r="E1" s="999"/>
      <c r="F1" s="999"/>
      <c r="G1" s="33"/>
      <c r="H1" s="33"/>
      <c r="I1" s="33"/>
      <c r="J1" s="33"/>
      <c r="K1" s="33"/>
      <c r="L1" s="33"/>
      <c r="M1" s="33"/>
    </row>
    <row r="2" spans="1:13" x14ac:dyDescent="0.25">
      <c r="A2" s="33"/>
      <c r="B2" s="33"/>
      <c r="C2" s="1000" t="s">
        <v>372</v>
      </c>
      <c r="D2" s="1000"/>
      <c r="E2" s="1000"/>
      <c r="F2" s="1000"/>
      <c r="G2" s="33"/>
      <c r="H2" s="33"/>
      <c r="I2" s="33"/>
      <c r="J2" s="33"/>
      <c r="K2" s="33"/>
      <c r="L2" s="33"/>
      <c r="M2" s="33"/>
    </row>
    <row r="4" spans="1:13" x14ac:dyDescent="0.25">
      <c r="A4" s="143" t="s">
        <v>1</v>
      </c>
      <c r="B4" s="1001" t="str">
        <f>Customer</f>
        <v>ULTRATECH TOOL&amp; DESIGN, INC.</v>
      </c>
      <c r="C4" s="1001"/>
      <c r="D4" s="1001"/>
      <c r="E4" s="1001"/>
      <c r="F4" s="33"/>
      <c r="G4" s="33"/>
      <c r="H4" s="33"/>
      <c r="I4" s="33"/>
      <c r="J4" s="33"/>
      <c r="K4" s="33"/>
      <c r="L4" s="33"/>
      <c r="M4" s="33"/>
    </row>
    <row r="5" spans="1:13" x14ac:dyDescent="0.25">
      <c r="A5" s="143" t="s">
        <v>2</v>
      </c>
      <c r="B5" s="1002">
        <f>CalcDate</f>
        <v>0</v>
      </c>
      <c r="C5" s="1001"/>
      <c r="D5" s="1001"/>
      <c r="E5" s="1001"/>
      <c r="F5" s="33"/>
      <c r="G5" s="33"/>
      <c r="H5" s="33"/>
      <c r="I5" s="33"/>
      <c r="J5" s="33"/>
      <c r="K5" s="33"/>
      <c r="L5" s="33"/>
      <c r="M5" s="33"/>
    </row>
    <row r="6" spans="1:13" x14ac:dyDescent="0.25">
      <c r="A6" s="143" t="s">
        <v>3</v>
      </c>
      <c r="B6" s="1001">
        <f>Reference</f>
        <v>0</v>
      </c>
      <c r="C6" s="1001"/>
      <c r="D6" s="1001"/>
      <c r="E6" s="1001"/>
      <c r="F6" s="33"/>
      <c r="G6" s="33"/>
      <c r="H6" s="33"/>
      <c r="I6" s="33"/>
      <c r="J6" s="33"/>
      <c r="K6" s="33"/>
      <c r="L6" s="33"/>
      <c r="M6" s="33"/>
    </row>
    <row r="8" spans="1:13" ht="16.5" customHeight="1" x14ac:dyDescent="0.25">
      <c r="A8" s="146"/>
      <c r="B8" s="147"/>
      <c r="C8" s="148"/>
      <c r="D8" s="123" t="s">
        <v>366</v>
      </c>
      <c r="E8" s="132">
        <v>-60</v>
      </c>
      <c r="F8" s="33" t="s">
        <v>365</v>
      </c>
      <c r="G8" s="33"/>
      <c r="H8" s="33"/>
      <c r="I8" s="33"/>
      <c r="J8" s="33"/>
      <c r="K8" s="33"/>
      <c r="L8" s="33"/>
      <c r="M8" s="33"/>
    </row>
    <row r="9" spans="1:13" x14ac:dyDescent="0.25">
      <c r="A9" s="149"/>
      <c r="B9" s="141"/>
      <c r="C9" s="148"/>
      <c r="D9" s="123" t="s">
        <v>364</v>
      </c>
      <c r="E9" s="132">
        <f>IF(ABS(1/$E$8)&gt;curv_at_yld, 1/((1/$E$8)-((ABS($E$8)/$E$8)*(1.5*(1-$F$32))*curv_at_yld*(1-((1/3)*(curv_at_yld/(1/$E$8))^2)))), IF($F$32=0, ABS($E$8)/$E$8*99999, $E$8/$F$32))</f>
        <v>-181.81818181818181</v>
      </c>
      <c r="F9" s="33" t="s">
        <v>363</v>
      </c>
      <c r="G9" s="33"/>
      <c r="H9" s="33"/>
      <c r="I9" s="33"/>
      <c r="J9" s="33"/>
      <c r="K9" s="33"/>
      <c r="L9" s="33"/>
      <c r="M9" s="33"/>
    </row>
    <row r="10" spans="1:13" ht="15.75" thickBot="1" x14ac:dyDescent="0.3">
      <c r="A10" s="33"/>
      <c r="B10" s="33"/>
      <c r="C10" s="33"/>
      <c r="D10" s="123" t="s">
        <v>362</v>
      </c>
      <c r="E10" s="138">
        <f>1/$E$9</f>
        <v>-5.5000000000000005E-3</v>
      </c>
      <c r="F10" s="33"/>
      <c r="G10" s="33"/>
      <c r="H10" s="33"/>
      <c r="I10" s="33"/>
      <c r="J10" s="33"/>
      <c r="K10" s="33"/>
      <c r="L10" s="33"/>
      <c r="M10" s="33"/>
    </row>
    <row r="11" spans="1:13" x14ac:dyDescent="0.25">
      <c r="A11" s="140" t="s">
        <v>361</v>
      </c>
      <c r="B11" s="139">
        <f>CoilWidth_3</f>
        <v>30</v>
      </c>
      <c r="C11" s="33" t="s">
        <v>336</v>
      </c>
      <c r="D11" s="123" t="s">
        <v>360</v>
      </c>
      <c r="E11" s="138">
        <f>2*yield/(thk*modulus)</f>
        <v>9.852216748768472E-2</v>
      </c>
      <c r="F11" s="33"/>
      <c r="G11" s="33"/>
      <c r="H11" s="33"/>
      <c r="I11" s="33"/>
      <c r="J11" s="33"/>
      <c r="K11" s="33"/>
      <c r="L11" s="33"/>
      <c r="M11" s="33"/>
    </row>
    <row r="12" spans="1:13" x14ac:dyDescent="0.25">
      <c r="A12" s="135" t="s">
        <v>359</v>
      </c>
      <c r="B12" s="137">
        <f>Thickness_3</f>
        <v>3.5000000000000003E-2</v>
      </c>
      <c r="C12" s="36" t="s">
        <v>336</v>
      </c>
      <c r="D12" s="136" t="s">
        <v>358</v>
      </c>
      <c r="E12" s="132">
        <f>1/curv_at_yld</f>
        <v>10.15</v>
      </c>
      <c r="F12" s="33" t="s">
        <v>357</v>
      </c>
      <c r="G12" s="33"/>
      <c r="H12" s="33"/>
      <c r="I12" s="33"/>
      <c r="J12" s="33"/>
      <c r="K12" s="33"/>
      <c r="L12" s="33"/>
      <c r="M12" s="33"/>
    </row>
    <row r="13" spans="1:13" x14ac:dyDescent="0.25">
      <c r="A13" s="135" t="s">
        <v>356</v>
      </c>
      <c r="B13" s="437">
        <f>YieldStrength_3</f>
        <v>50000</v>
      </c>
      <c r="C13" s="130" t="s">
        <v>11</v>
      </c>
      <c r="D13" s="133" t="s">
        <v>355</v>
      </c>
      <c r="E13" s="132">
        <f>width*yield*(thk^2)/6</f>
        <v>306.25000000000006</v>
      </c>
      <c r="F13" s="33" t="s">
        <v>354</v>
      </c>
      <c r="G13" s="33"/>
      <c r="H13" s="33"/>
      <c r="I13" s="33"/>
      <c r="J13" s="33"/>
      <c r="K13" s="33"/>
      <c r="L13" s="33"/>
      <c r="M13" s="33"/>
    </row>
    <row r="14" spans="1:13" ht="17.25" customHeight="1" x14ac:dyDescent="0.25">
      <c r="A14" s="131" t="s">
        <v>353</v>
      </c>
      <c r="B14" s="441" t="str">
        <f>Material_3</f>
        <v>Cold Rolled Steel</v>
      </c>
      <c r="C14" s="130"/>
      <c r="D14" s="130"/>
      <c r="E14" s="129" t="str">
        <f>IF(E21&gt;0,"", "ROLLER TOO HIGH!")</f>
        <v/>
      </c>
      <c r="F14" s="33"/>
      <c r="G14" s="129" t="str">
        <f>IF(G21&gt;0,"", "ROLLER TOO HIGH!")</f>
        <v/>
      </c>
      <c r="H14" s="129"/>
      <c r="I14" s="129" t="str">
        <f>IF(I21&gt;0,"", "ROLLER TOO HIGH!")</f>
        <v/>
      </c>
      <c r="J14" s="33"/>
      <c r="K14" s="129" t="str">
        <f>IF(K21&gt;0,"", "ROLLER TOO HIGH!")</f>
        <v/>
      </c>
      <c r="L14" s="33"/>
      <c r="M14" s="129" t="str">
        <f>IF(M21&gt;0,"", "ROLLER TOO HIGH!")</f>
        <v/>
      </c>
    </row>
    <row r="15" spans="1:13" ht="17.25" customHeight="1" thickBot="1" x14ac:dyDescent="0.3">
      <c r="A15" s="151" t="s">
        <v>369</v>
      </c>
      <c r="B15" s="441" t="str">
        <f>'Str. Utility (3)'!model</f>
        <v>CPPS-507</v>
      </c>
      <c r="C15" s="36"/>
      <c r="D15" s="33"/>
      <c r="E15" s="33"/>
      <c r="F15" s="33"/>
      <c r="G15" s="33"/>
      <c r="H15" s="33"/>
      <c r="I15" s="33"/>
      <c r="J15" s="33"/>
      <c r="K15" s="33"/>
      <c r="L15" s="33"/>
      <c r="M15" s="33"/>
    </row>
    <row r="16" spans="1:13" ht="15" customHeight="1" thickBot="1" x14ac:dyDescent="0.3">
      <c r="A16" s="68"/>
      <c r="B16" s="33"/>
      <c r="C16" s="36"/>
      <c r="D16" s="33"/>
      <c r="E16" s="152">
        <v>8750</v>
      </c>
      <c r="F16" s="33"/>
      <c r="G16" s="46"/>
      <c r="H16" s="46"/>
      <c r="I16" s="46"/>
      <c r="J16" s="33"/>
      <c r="K16" s="33"/>
      <c r="L16" s="33"/>
      <c r="M16" s="46"/>
    </row>
    <row r="17" spans="1:17" ht="15.75" thickBot="1" x14ac:dyDescent="0.3">
      <c r="A17" s="123"/>
      <c r="B17" s="33"/>
      <c r="C17" s="33"/>
      <c r="D17" s="122"/>
      <c r="E17" s="121" t="s">
        <v>351</v>
      </c>
      <c r="F17" s="119"/>
      <c r="G17" s="120" t="s">
        <v>350</v>
      </c>
      <c r="H17" s="120"/>
      <c r="I17" s="120" t="s">
        <v>350</v>
      </c>
      <c r="J17" s="119"/>
      <c r="K17" s="120" t="s">
        <v>350</v>
      </c>
      <c r="L17" s="166"/>
      <c r="M17" s="118" t="s">
        <v>349</v>
      </c>
      <c r="N17" s="33"/>
      <c r="O17" s="33"/>
      <c r="P17" s="33"/>
      <c r="Q17" s="65"/>
    </row>
    <row r="18" spans="1:17" ht="21.75" customHeight="1" x14ac:dyDescent="0.25">
      <c r="A18" s="153" t="s">
        <v>348</v>
      </c>
      <c r="B18" s="116">
        <f>VLOOKUP($B$15,LookupStrModel,2,FALSE)</f>
        <v>5</v>
      </c>
      <c r="C18" s="71" t="s">
        <v>336</v>
      </c>
      <c r="D18" s="154" t="s">
        <v>370</v>
      </c>
      <c r="E18" s="114">
        <f>IF((E16-10000)/1000&lt;$B23, "TOO DEEP!", (E16-10000)/1000)</f>
        <v>-1.25</v>
      </c>
      <c r="F18" s="112"/>
      <c r="G18" s="113">
        <f>E18+((M18-E18)/4)</f>
        <v>-0.93049999999999999</v>
      </c>
      <c r="H18" s="155"/>
      <c r="I18" s="113">
        <f>G18+((M18-E18)/4)</f>
        <v>-0.61099999999999999</v>
      </c>
      <c r="J18" s="112"/>
      <c r="K18" s="113">
        <f>I18+((M18-E18)/4)</f>
        <v>-0.29149999999999998</v>
      </c>
      <c r="L18" s="167"/>
      <c r="M18" s="111">
        <f>thk*0.8</f>
        <v>2.8000000000000004E-2</v>
      </c>
      <c r="N18" s="33"/>
      <c r="O18" s="33"/>
      <c r="P18" s="33"/>
      <c r="Q18" s="33"/>
    </row>
    <row r="19" spans="1:17" ht="25.5" x14ac:dyDescent="0.25">
      <c r="A19" s="131" t="s">
        <v>346</v>
      </c>
      <c r="B19" s="98">
        <f>VLOOKUP($B$15,LookupStrModel,3,FALSE)</f>
        <v>9</v>
      </c>
      <c r="C19" s="71" t="s">
        <v>336</v>
      </c>
      <c r="D19" s="156" t="s">
        <v>345</v>
      </c>
      <c r="E19" s="109">
        <f>(1.314-$D$31*thk+$D$32*E18)*((-0.25*cent_dist^2)-(E18^2)+(2*E18*thk)-thk^2)/(4*(E18+0.00000001)-4*thk)</f>
        <v>4.6401622977833643</v>
      </c>
      <c r="F19" s="93">
        <f>-E19</f>
        <v>-4.6401622977833643</v>
      </c>
      <c r="G19" s="93">
        <f>((-0.25*cent_dist^2)-(G$18^2)+(2*G$18*thk)-thk^2)/(4*(G$18+0.00000001)-4*thk)</f>
        <v>5.4847722603290761</v>
      </c>
      <c r="H19" s="93">
        <f>-G19</f>
        <v>-5.4847722603290761</v>
      </c>
      <c r="I19" s="93">
        <f>((-0.25*cent_dist^2)-(I$18^2)+(2*I$18*thk)-thk^2)/(4*(I$18+0.00000001)-4*thk)</f>
        <v>7.9981874303125009</v>
      </c>
      <c r="J19" s="93">
        <f>-I19</f>
        <v>-7.9981874303125009</v>
      </c>
      <c r="K19" s="93">
        <f>((-0.25*cent_dist^2)-(K$18^2)+(2*K$18*thk)-thk^2)/(4*(K$18+0.00000001)-4*thk)</f>
        <v>15.5869853548847</v>
      </c>
      <c r="L19" s="93">
        <f>-K19</f>
        <v>-15.5869853548847</v>
      </c>
      <c r="M19" s="108">
        <f>(1.314-$D$31*thk+$D$32*M18)*((-0.25*cent_dist^2)-(M18^2)+(2*M18*thk)-thk^2)/(4*(M18+0.00000001)-4*thk)</f>
        <v>953.95224253748972</v>
      </c>
      <c r="N19" s="33"/>
      <c r="O19" s="33"/>
      <c r="P19" s="33"/>
      <c r="Q19" s="33"/>
    </row>
    <row r="20" spans="1:17" ht="25.5" x14ac:dyDescent="0.25">
      <c r="A20" s="131" t="s">
        <v>344</v>
      </c>
      <c r="B20" s="107">
        <f>VLOOKUP($B$14,LookupMaterial,3, FALSE)</f>
        <v>29000000</v>
      </c>
      <c r="C20" s="71" t="s">
        <v>11</v>
      </c>
      <c r="D20" s="157" t="s">
        <v>343</v>
      </c>
      <c r="E20" s="105" t="s">
        <v>277</v>
      </c>
      <c r="F20" s="104" t="s">
        <v>278</v>
      </c>
      <c r="G20" s="104" t="s">
        <v>277</v>
      </c>
      <c r="H20" s="104" t="s">
        <v>278</v>
      </c>
      <c r="I20" s="104" t="s">
        <v>277</v>
      </c>
      <c r="J20" s="104" t="s">
        <v>278</v>
      </c>
      <c r="K20" s="104" t="s">
        <v>277</v>
      </c>
      <c r="L20" s="104" t="s">
        <v>278</v>
      </c>
      <c r="M20" s="103" t="s">
        <v>277</v>
      </c>
      <c r="N20" s="33"/>
      <c r="O20" s="33"/>
      <c r="P20" s="33"/>
      <c r="Q20" s="33"/>
    </row>
    <row r="21" spans="1:17" ht="27.75" customHeight="1" x14ac:dyDescent="0.25">
      <c r="A21" s="131" t="s">
        <v>342</v>
      </c>
      <c r="B21" s="158">
        <f>VLOOKUP($B$15,LookupStrModel,5,FALSE)</f>
        <v>60000</v>
      </c>
      <c r="C21" s="159" t="s">
        <v>341</v>
      </c>
      <c r="D21" s="156" t="s">
        <v>340</v>
      </c>
      <c r="E21" s="88">
        <f>1/E19-$E$10</f>
        <v>0.22100970328725494</v>
      </c>
      <c r="F21" s="87">
        <f t="shared" ref="F21:L21" si="0">1/F19-1/E27</f>
        <v>-0.29302540026664703</v>
      </c>
      <c r="G21" s="87">
        <f t="shared" si="0"/>
        <v>0.25561822426371122</v>
      </c>
      <c r="H21" s="87">
        <f t="shared" si="0"/>
        <v>-0.22418063032911442</v>
      </c>
      <c r="I21" s="87">
        <f t="shared" si="0"/>
        <v>0.1690823274952904</v>
      </c>
      <c r="J21" s="87">
        <f t="shared" si="0"/>
        <v>-0.11899876318643612</v>
      </c>
      <c r="K21" s="87">
        <f t="shared" si="0"/>
        <v>7.5167737054247896E-2</v>
      </c>
      <c r="L21" s="87">
        <f t="shared" si="0"/>
        <v>-5.3144438421892773E-2</v>
      </c>
      <c r="M21" s="86">
        <f>1/M19-1/J27</f>
        <v>1.2059919822193703E-2</v>
      </c>
      <c r="N21" s="33"/>
      <c r="O21" s="33"/>
      <c r="P21" s="33"/>
      <c r="Q21" s="33"/>
    </row>
    <row r="22" spans="1:17" ht="45" customHeight="1" x14ac:dyDescent="0.25">
      <c r="A22" s="160" t="s">
        <v>339</v>
      </c>
      <c r="B22" s="98">
        <f>VLOOKUP($B$15,LookupStrModel,6,FALSE)</f>
        <v>-1.25</v>
      </c>
      <c r="C22" s="71" t="s">
        <v>336</v>
      </c>
      <c r="D22" s="161" t="s">
        <v>338</v>
      </c>
      <c r="E22" s="94">
        <f t="shared" ref="E22:M22" si="1">IF(ABS(E21)&lt;curv_at_yld, (modulus*width*thk^3)/(12)*(E21), (ABS(E21)/E21)*1.5*My*(1-1/3*((curv_at_yld/E21)^2)))</f>
        <v>428.94574398259755</v>
      </c>
      <c r="F22" s="93">
        <f t="shared" si="1"/>
        <v>-442.06474436540879</v>
      </c>
      <c r="G22" s="93">
        <f t="shared" si="1"/>
        <v>436.6276719876675</v>
      </c>
      <c r="H22" s="93">
        <f t="shared" si="1"/>
        <v>-429.80047042136886</v>
      </c>
      <c r="I22" s="93">
        <f t="shared" si="1"/>
        <v>407.38526757135952</v>
      </c>
      <c r="J22" s="93">
        <f t="shared" si="1"/>
        <v>-354.41371908559285</v>
      </c>
      <c r="K22" s="93">
        <f>IF(ABS(K21)&lt;curv_at_yld, (modulus*width*thk^3)/(12)*(K21), (ABS(K21)/K21)*1.5*My*(1-1/3*((curv_at_yld/K21)^2)))</f>
        <v>233.65421264956373</v>
      </c>
      <c r="L22" s="93">
        <f>IF(ABS(L21)&lt;curv_at_yld, (modulus*width*thk^3)/(12)*(L21), (ABS(L21)/L21)*1.5*My*(1-1/3*((curv_at_yld/L21)^2)))</f>
        <v>-165.19616530705235</v>
      </c>
      <c r="M22" s="92">
        <f t="shared" si="1"/>
        <v>37.487507022300242</v>
      </c>
      <c r="N22" s="33"/>
      <c r="O22" s="33"/>
      <c r="P22" s="33"/>
      <c r="Q22" s="33"/>
    </row>
    <row r="23" spans="1:17" ht="45" customHeight="1" thickBot="1" x14ac:dyDescent="0.3">
      <c r="A23" s="162" t="s">
        <v>337</v>
      </c>
      <c r="B23" s="163">
        <f>IF((B$18+thk)^2-(cent_dist/2)^2&lt;0, B22, IF(B$18-SQRT((B$18+thk)^2-(cent_dist/2)^2)&lt;-B22, -B$18+SQRT((B$18+thk)^2-(cent_dist/2)^2), B22))</f>
        <v>-1.25</v>
      </c>
      <c r="C23" s="71" t="s">
        <v>336</v>
      </c>
      <c r="D23" s="156" t="s">
        <v>335</v>
      </c>
      <c r="E23" s="88">
        <f t="shared" ref="E23:M23" si="2">E22/My</f>
        <v>1.4006391640248081</v>
      </c>
      <c r="F23" s="87">
        <f t="shared" si="2"/>
        <v>-1.443476716295212</v>
      </c>
      <c r="G23" s="87">
        <f t="shared" si="2"/>
        <v>1.4257230105719751</v>
      </c>
      <c r="H23" s="87">
        <f t="shared" si="2"/>
        <v>-1.4034301074983471</v>
      </c>
      <c r="I23" s="87">
        <f t="shared" si="2"/>
        <v>1.3302376083962757</v>
      </c>
      <c r="J23" s="87">
        <f t="shared" si="2"/>
        <v>-1.1572692868100989</v>
      </c>
      <c r="K23" s="87">
        <f>K22/My</f>
        <v>0.76295253110061612</v>
      </c>
      <c r="L23" s="87">
        <f>L22/My</f>
        <v>-0.53941604998221171</v>
      </c>
      <c r="M23" s="86">
        <f t="shared" si="2"/>
        <v>0.12240818619526607</v>
      </c>
      <c r="N23" s="33"/>
      <c r="O23" s="33"/>
      <c r="P23" s="33"/>
      <c r="Q23" s="33"/>
    </row>
    <row r="24" spans="1:17" ht="45" customHeight="1" thickBot="1" x14ac:dyDescent="0.3">
      <c r="A24" s="72"/>
      <c r="B24" s="71"/>
      <c r="C24" s="71"/>
      <c r="D24" s="156" t="s">
        <v>334</v>
      </c>
      <c r="E24" s="94">
        <f>E22*5.333/cent_dist</f>
        <v>254.1741836287992</v>
      </c>
      <c r="F24" s="93"/>
      <c r="G24" s="93">
        <f>G22*5.333/cent_dist</f>
        <v>258.7261527455812</v>
      </c>
      <c r="H24" s="93"/>
      <c r="I24" s="93">
        <f>I22*5.333/cent_dist</f>
        <v>241.39840355089558</v>
      </c>
      <c r="J24" s="93"/>
      <c r="K24" s="93">
        <f>K22*5.333/cent_dist</f>
        <v>138.45310178445817</v>
      </c>
      <c r="L24" s="93"/>
      <c r="M24" s="92">
        <f>M22*5.3333/cent_dist</f>
        <v>22.214680133559323</v>
      </c>
      <c r="N24" s="91" t="str">
        <f>IF(E24&gt;B21, "NOT ENOUGH FORCE!", IF(G24&gt;B21, "NOT ENOUGH FORCE!", IF(M24&gt;B21, "NOT ENOUGH FORCE!", "")))</f>
        <v/>
      </c>
      <c r="O24" s="33"/>
      <c r="P24" s="33"/>
      <c r="Q24" s="33"/>
    </row>
    <row r="25" spans="1:17" ht="50.25" customHeight="1" x14ac:dyDescent="0.25">
      <c r="A25" s="90" t="s">
        <v>333</v>
      </c>
      <c r="B25" s="89">
        <f>-(1.5*rad_at_yld-thk-SQRT(ABS(((1.5*rad_at_yld)^2)-(cent_dist/2)^2)))</f>
        <v>-0.64522000853914463</v>
      </c>
      <c r="C25" s="81" t="str">
        <f>IF(B25&gt;B23, "OK", "WILL NOT STRAIGHTEN")</f>
        <v>OK</v>
      </c>
      <c r="D25" s="156" t="s">
        <v>332</v>
      </c>
      <c r="E25" s="88">
        <f t="shared" ref="E25:M25" si="3">-curv_at_yld*E23</f>
        <v>-0.13799400630786285</v>
      </c>
      <c r="F25" s="87">
        <f t="shared" si="3"/>
        <v>0.14221445480741005</v>
      </c>
      <c r="G25" s="87">
        <f t="shared" si="3"/>
        <v>-0.14046532123861824</v>
      </c>
      <c r="H25" s="87">
        <f t="shared" si="3"/>
        <v>0.13826897610821151</v>
      </c>
      <c r="I25" s="87">
        <f t="shared" si="3"/>
        <v>-0.13105789245283503</v>
      </c>
      <c r="J25" s="87">
        <f t="shared" si="3"/>
        <v>0.11401667850345801</v>
      </c>
      <c r="K25" s="87">
        <f t="shared" si="3"/>
        <v>-7.5167737054247882E-2</v>
      </c>
      <c r="L25" s="87">
        <f t="shared" si="3"/>
        <v>5.3144438421892773E-2</v>
      </c>
      <c r="M25" s="86">
        <f t="shared" si="3"/>
        <v>-1.2059919822193701E-2</v>
      </c>
      <c r="N25" s="33"/>
      <c r="O25" s="33"/>
      <c r="P25" s="33"/>
      <c r="Q25" s="33"/>
    </row>
    <row r="26" spans="1:17" ht="51.75" customHeight="1" x14ac:dyDescent="0.25">
      <c r="A26" s="626" t="s">
        <v>371</v>
      </c>
      <c r="B26" s="627">
        <f>(16*yield*width*thk^2)/(15*cent_dist)</f>
        <v>217.7777777777778</v>
      </c>
      <c r="C26" s="81" t="str">
        <f>IF(B26&lt;B21, "OK", "NOT ENOUGH FORCE")</f>
        <v>OK</v>
      </c>
      <c r="D26" s="156" t="s">
        <v>330</v>
      </c>
      <c r="E26" s="84">
        <f t="shared" ref="E26:M26" si="4">IF(curv_at_yld&lt;ABS(E21),1-ABS(curv_at_yld/E21), "NONE")</f>
        <v>0.55421790979180852</v>
      </c>
      <c r="F26" s="83">
        <f t="shared" si="4"/>
        <v>0.66377601601079084</v>
      </c>
      <c r="G26" s="83">
        <f t="shared" si="4"/>
        <v>0.61457299153270351</v>
      </c>
      <c r="H26" s="83">
        <f t="shared" si="4"/>
        <v>0.5605232827517409</v>
      </c>
      <c r="I26" s="83">
        <f t="shared" si="4"/>
        <v>0.41731244804144918</v>
      </c>
      <c r="J26" s="83">
        <f t="shared" si="4"/>
        <v>0.1720740211952505</v>
      </c>
      <c r="K26" s="83" t="str">
        <f t="shared" si="4"/>
        <v>NONE</v>
      </c>
      <c r="L26" s="83" t="str">
        <f t="shared" si="4"/>
        <v>NONE</v>
      </c>
      <c r="M26" s="82" t="str">
        <f t="shared" si="4"/>
        <v>NONE</v>
      </c>
      <c r="N26" s="33"/>
      <c r="O26" s="33"/>
      <c r="P26" s="33"/>
      <c r="Q26" s="33"/>
    </row>
    <row r="27" spans="1:17" ht="51.75" customHeight="1" thickBot="1" x14ac:dyDescent="0.3">
      <c r="A27" s="624" t="s">
        <v>1119</v>
      </c>
      <c r="B27" s="628" t="str">
        <f>IF(AND(E26&gt;=BackbendMin, E26&lt;=BackbendMax), IF(AND(E26 &lt;= BackbendConfirm, B28=FALSE), BackbendNCText, BackbendOKText), BackbendNOText)</f>
        <v>OK</v>
      </c>
      <c r="C27" s="71"/>
      <c r="D27" s="164" t="s">
        <v>328</v>
      </c>
      <c r="E27" s="75">
        <f t="shared" ref="E27:L27" si="5">1/((1/E19)+E25)</f>
        <v>12.900612894777359</v>
      </c>
      <c r="F27" s="74">
        <f t="shared" si="5"/>
        <v>-13.643449210421672</v>
      </c>
      <c r="G27" s="74">
        <f t="shared" si="5"/>
        <v>23.890492930486605</v>
      </c>
      <c r="H27" s="74">
        <f t="shared" si="5"/>
        <v>-22.699414522232843</v>
      </c>
      <c r="I27" s="74">
        <f t="shared" si="5"/>
        <v>-165.84945362288497</v>
      </c>
      <c r="J27" s="74">
        <f t="shared" si="5"/>
        <v>-90.812917419270505</v>
      </c>
      <c r="K27" s="74">
        <f t="shared" si="5"/>
        <v>-90.812917419270619</v>
      </c>
      <c r="L27" s="74">
        <f t="shared" si="5"/>
        <v>-90.812917419270619</v>
      </c>
      <c r="M27" s="165">
        <f>IF(ABS((1/M19)+M25)&lt;0.00001, "FLAT", 1/((1/M19)+M25))</f>
        <v>-90.812917419270519</v>
      </c>
      <c r="N27" s="33"/>
      <c r="O27" s="33"/>
      <c r="P27" s="33"/>
      <c r="Q27" s="33"/>
    </row>
    <row r="28" spans="1:17" ht="45" customHeight="1" x14ac:dyDescent="0.25">
      <c r="A28" s="72"/>
      <c r="B28" s="689" t="b">
        <v>0</v>
      </c>
      <c r="C28" s="71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</row>
    <row r="29" spans="1:17" x14ac:dyDescent="0.25">
      <c r="A29" s="33"/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</row>
    <row r="31" spans="1:17" x14ac:dyDescent="0.25">
      <c r="A31" s="46"/>
      <c r="B31" s="46"/>
      <c r="C31" s="46"/>
      <c r="D31" s="37"/>
      <c r="E31" s="68"/>
      <c r="F31" s="67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</row>
    <row r="32" spans="1:17" hidden="1" x14ac:dyDescent="0.25">
      <c r="A32" s="46"/>
      <c r="B32" s="46"/>
      <c r="C32" s="46" t="s">
        <v>169</v>
      </c>
      <c r="D32" s="37">
        <f>VLOOKUP($B$15,LookupStrModel,7,FALSE)</f>
        <v>0.18</v>
      </c>
      <c r="E32" s="68" t="s">
        <v>327</v>
      </c>
      <c r="F32" s="67">
        <v>0.33</v>
      </c>
      <c r="G32" s="33">
        <f>E19/H33</f>
        <v>1.138325529209909</v>
      </c>
      <c r="H32" s="33" t="s">
        <v>326</v>
      </c>
      <c r="I32" s="33" t="s">
        <v>293</v>
      </c>
      <c r="J32" s="33" t="s">
        <v>292</v>
      </c>
      <c r="K32" s="33" t="s">
        <v>291</v>
      </c>
      <c r="L32" s="33"/>
      <c r="M32" s="33"/>
      <c r="N32" s="33"/>
      <c r="O32" s="33"/>
      <c r="P32" s="33"/>
      <c r="Q32" s="33"/>
    </row>
    <row r="33" spans="1:13" hidden="1" x14ac:dyDescent="0.25">
      <c r="A33" s="46"/>
      <c r="B33" s="46"/>
      <c r="C33" s="46" t="s">
        <v>166</v>
      </c>
      <c r="D33" s="37">
        <f>VLOOKUP($B$15,LookupStrModel,8,FALSE)</f>
        <v>0.18</v>
      </c>
      <c r="E33" s="33"/>
      <c r="F33" s="33"/>
      <c r="G33" s="33"/>
      <c r="H33" s="65">
        <f>rad_at_yld/2.49</f>
        <v>4.0763052208835342</v>
      </c>
      <c r="I33" s="65">
        <f>H33-(SQRT(((H33+(thk/4))^2)-((cent_dist/4)^2)))</f>
        <v>0.66673396372115912</v>
      </c>
      <c r="J33" s="65">
        <f>ABS(I33)*-2 * 1.07</f>
        <v>-1.4268106823632807</v>
      </c>
      <c r="K33" s="65">
        <f>10000+(L41*1000)</f>
        <v>8323.488621151022</v>
      </c>
      <c r="L33" s="33">
        <f>10000+(B22*1000)</f>
        <v>8750</v>
      </c>
      <c r="M33" s="33">
        <f>IF(K33&gt;L33,K33,L33)</f>
        <v>8750</v>
      </c>
    </row>
    <row r="34" spans="1:13" hidden="1" x14ac:dyDescent="0.25">
      <c r="A34" s="46"/>
      <c r="B34" s="46"/>
      <c r="C34" s="33"/>
      <c r="D34" s="33"/>
      <c r="E34" s="33"/>
      <c r="F34" s="33"/>
      <c r="G34" s="33"/>
      <c r="H34" s="33"/>
      <c r="I34" s="65">
        <f>H33-(SQRT(((H33+(thk/4))*((H33+(thk/4)))-(((cent_dist/4)*(cent_dist/4))))))</f>
        <v>0.66673396372115912</v>
      </c>
      <c r="J34" s="33"/>
      <c r="K34" s="33"/>
      <c r="L34" s="33"/>
      <c r="M34" s="33"/>
    </row>
    <row r="35" spans="1:13" hidden="1" x14ac:dyDescent="0.25">
      <c r="A35" s="46"/>
      <c r="B35" s="46"/>
      <c r="C35" s="33"/>
      <c r="D35" s="33"/>
      <c r="E35" s="33"/>
      <c r="F35" s="33"/>
      <c r="G35" s="33"/>
      <c r="H35" s="33"/>
      <c r="I35" s="65">
        <f>(SQRT(((H33+(thk/4))*((H33+(thk/4)))-(((cent_dist/4)*(cent_dist/4))))))</f>
        <v>3.4095712571623751</v>
      </c>
      <c r="J35" s="65">
        <f>I35-H33</f>
        <v>-0.66673396372115912</v>
      </c>
      <c r="K35" s="33"/>
      <c r="L35" s="33"/>
      <c r="M35" s="33"/>
    </row>
    <row r="36" spans="1:13" hidden="1" x14ac:dyDescent="0.25">
      <c r="A36" s="46"/>
      <c r="B36" s="46"/>
      <c r="C36" s="33"/>
      <c r="D36" s="33"/>
      <c r="E36" s="33"/>
      <c r="F36" s="33"/>
      <c r="G36" s="33"/>
      <c r="H36" s="33"/>
      <c r="I36" s="33">
        <v>4</v>
      </c>
      <c r="J36" s="33">
        <v>8</v>
      </c>
      <c r="K36" s="33">
        <v>2</v>
      </c>
      <c r="L36" s="33">
        <v>3</v>
      </c>
      <c r="M36" s="33"/>
    </row>
    <row r="37" spans="1:13" hidden="1" x14ac:dyDescent="0.25">
      <c r="A37" s="46"/>
      <c r="B37" s="46"/>
      <c r="C37" s="33"/>
      <c r="D37" s="33"/>
      <c r="E37" s="33"/>
      <c r="F37" s="33"/>
      <c r="G37" s="33"/>
      <c r="H37" s="33" t="s">
        <v>276</v>
      </c>
      <c r="I37" s="65">
        <f>SQRT(((I39)^2)-((I38)^2))</f>
        <v>3.3990828548010357</v>
      </c>
      <c r="J37" s="65">
        <f>SQRT(((J39)^2)-((J38)^2))</f>
        <v>3.9179891850032407</v>
      </c>
      <c r="K37" s="65" t="e">
        <f>SQRT(((K39)^2)-((K38)^2))</f>
        <v>#NUM!</v>
      </c>
      <c r="L37" s="65">
        <f>SQRT(((L39)^2)-((L38)^2))</f>
        <v>2.7597580063843208</v>
      </c>
      <c r="M37" s="33"/>
    </row>
    <row r="38" spans="1:13" hidden="1" x14ac:dyDescent="0.25">
      <c r="A38" s="33"/>
      <c r="B38" s="46"/>
      <c r="C38" s="33"/>
      <c r="D38" s="33"/>
      <c r="E38" s="33"/>
      <c r="F38" s="33"/>
      <c r="G38" s="33"/>
      <c r="H38" s="33" t="s">
        <v>271</v>
      </c>
      <c r="I38" s="65">
        <f>cent_dist/4</f>
        <v>2.25</v>
      </c>
      <c r="J38" s="65">
        <f>cent_dist/8</f>
        <v>1.125</v>
      </c>
      <c r="K38" s="65">
        <f>cent_dist/2</f>
        <v>4.5</v>
      </c>
      <c r="L38" s="65">
        <f>cent_dist/3</f>
        <v>3</v>
      </c>
      <c r="M38" s="33"/>
    </row>
    <row r="39" spans="1:13" hidden="1" x14ac:dyDescent="0.25">
      <c r="A39" s="33"/>
      <c r="B39" s="46"/>
      <c r="C39" s="33"/>
      <c r="D39" s="33"/>
      <c r="E39" s="33"/>
      <c r="F39" s="33"/>
      <c r="G39" s="33"/>
      <c r="H39" s="33" t="s">
        <v>325</v>
      </c>
      <c r="I39" s="65">
        <f>H33</f>
        <v>4.0763052208835342</v>
      </c>
      <c r="J39" s="65">
        <f>H33</f>
        <v>4.0763052208835342</v>
      </c>
      <c r="K39" s="65">
        <f>H33</f>
        <v>4.0763052208835342</v>
      </c>
      <c r="L39" s="65">
        <f>H33</f>
        <v>4.0763052208835342</v>
      </c>
      <c r="M39" s="33"/>
    </row>
    <row r="40" spans="1:13" hidden="1" x14ac:dyDescent="0.25">
      <c r="A40" s="33"/>
      <c r="B40" s="46"/>
      <c r="C40" s="33"/>
      <c r="D40" s="33"/>
      <c r="E40" s="33"/>
      <c r="F40" s="33"/>
      <c r="G40" s="33"/>
      <c r="H40" s="33" t="s">
        <v>324</v>
      </c>
      <c r="I40" s="65">
        <f>(I39-I37) *2</f>
        <v>1.3544447321649971</v>
      </c>
      <c r="J40" s="65">
        <f>(J39-J37) *4</f>
        <v>0.63326414352117411</v>
      </c>
      <c r="K40" s="65" t="e">
        <f>(K39-K37) *1</f>
        <v>#NUM!</v>
      </c>
      <c r="L40" s="65">
        <f>(L39-L37) *1.3</f>
        <v>1.7115113788489775</v>
      </c>
      <c r="M40" s="33"/>
    </row>
    <row r="41" spans="1:13" hidden="1" x14ac:dyDescent="0.25">
      <c r="A41" s="33"/>
      <c r="B41" s="46"/>
      <c r="C41" s="33"/>
      <c r="D41" s="33"/>
      <c r="E41" s="33"/>
      <c r="F41" s="33"/>
      <c r="G41" s="33"/>
      <c r="H41" s="33" t="s">
        <v>263</v>
      </c>
      <c r="I41" s="65">
        <f>thk-I40</f>
        <v>-1.3194447321649971</v>
      </c>
      <c r="J41" s="65">
        <f>thk-J40</f>
        <v>-0.59826414352117407</v>
      </c>
      <c r="K41" s="65" t="e">
        <f>thk-K40</f>
        <v>#NUM!</v>
      </c>
      <c r="L41" s="65">
        <f>thk-L40</f>
        <v>-1.6765113788489776</v>
      </c>
      <c r="M41" s="33"/>
    </row>
    <row r="42" spans="1:13" hidden="1" x14ac:dyDescent="0.25">
      <c r="A42" s="33"/>
      <c r="B42" s="46"/>
      <c r="C42" s="33"/>
      <c r="D42" s="33"/>
      <c r="E42" s="33"/>
      <c r="F42" s="33"/>
      <c r="G42" s="33"/>
      <c r="H42" s="66">
        <f>E19</f>
        <v>4.6401622977833643</v>
      </c>
      <c r="I42" s="65">
        <f>H42-(SQRT(((H42+(thk/4))^2)-((cent_dist/4)^2)))</f>
        <v>0.572007242665455</v>
      </c>
      <c r="J42" s="65">
        <f>ABS(I42)*-2</f>
        <v>-1.14401448533091</v>
      </c>
      <c r="K42" s="33"/>
      <c r="L42" s="33"/>
      <c r="M42" s="33"/>
    </row>
    <row r="43" spans="1:13" hidden="1" x14ac:dyDescent="0.25">
      <c r="A43" s="33"/>
      <c r="B43" s="46"/>
      <c r="C43" s="33"/>
      <c r="D43" s="33"/>
      <c r="E43" s="33"/>
      <c r="F43" s="33"/>
      <c r="G43" s="33"/>
      <c r="H43" s="33"/>
      <c r="I43" s="33"/>
      <c r="J43" s="65">
        <f>E18/J42</f>
        <v>1.0926435076024701</v>
      </c>
      <c r="K43" s="33"/>
      <c r="L43" s="33"/>
      <c r="M43" s="33"/>
    </row>
    <row r="44" spans="1:13" hidden="1" x14ac:dyDescent="0.25">
      <c r="A44" s="33"/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 t="s">
        <v>323</v>
      </c>
      <c r="M44" s="33"/>
    </row>
    <row r="45" spans="1:13" hidden="1" x14ac:dyDescent="0.25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 t="s">
        <v>322</v>
      </c>
      <c r="M45" s="33"/>
    </row>
    <row r="46" spans="1:13" hidden="1" x14ac:dyDescent="0.25">
      <c r="A46" s="33"/>
      <c r="B46" s="46"/>
      <c r="C46" s="33"/>
      <c r="D46" s="33"/>
      <c r="E46" s="33"/>
      <c r="F46" s="33"/>
      <c r="G46" s="33"/>
      <c r="H46" s="33"/>
      <c r="I46" s="33"/>
      <c r="J46" s="33"/>
      <c r="K46" s="33"/>
      <c r="L46" s="33" t="s">
        <v>321</v>
      </c>
      <c r="M46" s="33"/>
    </row>
    <row r="47" spans="1:13" hidden="1" x14ac:dyDescent="0.25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 t="s">
        <v>320</v>
      </c>
      <c r="M47" s="33"/>
    </row>
    <row r="48" spans="1:13" hidden="1" x14ac:dyDescent="0.25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 t="s">
        <v>319</v>
      </c>
      <c r="M48" s="33"/>
    </row>
    <row r="49" spans="1:7" hidden="1" x14ac:dyDescent="0.25">
      <c r="A49" s="33"/>
      <c r="B49" s="33"/>
      <c r="C49" s="33"/>
      <c r="D49" s="33"/>
      <c r="E49" s="33"/>
      <c r="F49" s="33"/>
      <c r="G49" s="33"/>
    </row>
    <row r="50" spans="1:7" x14ac:dyDescent="0.25">
      <c r="A50" s="33"/>
      <c r="B50" s="33"/>
      <c r="C50" s="33"/>
      <c r="D50" s="33"/>
      <c r="E50" s="33"/>
      <c r="F50" s="33"/>
      <c r="G50" s="33"/>
    </row>
    <row r="51" spans="1:7" x14ac:dyDescent="0.25">
      <c r="A51" s="33"/>
      <c r="B51" s="33"/>
      <c r="C51" s="33"/>
      <c r="D51" s="33"/>
      <c r="E51" s="33"/>
      <c r="F51" s="33"/>
      <c r="G51" s="33"/>
    </row>
    <row r="52" spans="1:7" x14ac:dyDescent="0.25">
      <c r="A52" s="33"/>
      <c r="B52" s="33"/>
      <c r="C52" s="33"/>
      <c r="D52" s="33"/>
      <c r="E52" s="33"/>
      <c r="F52" s="33"/>
      <c r="G52" s="33"/>
    </row>
    <row r="53" spans="1:7" x14ac:dyDescent="0.25">
      <c r="A53" s="33"/>
      <c r="B53" s="33"/>
      <c r="C53" s="33"/>
      <c r="D53" s="33"/>
      <c r="E53" s="33"/>
      <c r="F53" s="33"/>
      <c r="G53" s="33"/>
    </row>
    <row r="54" spans="1:7" x14ac:dyDescent="0.25">
      <c r="A54" s="33"/>
      <c r="B54" s="33"/>
      <c r="C54" s="33"/>
      <c r="D54" s="33"/>
      <c r="E54" s="33"/>
      <c r="F54" s="33"/>
      <c r="G54" s="33"/>
    </row>
    <row r="55" spans="1:7" x14ac:dyDescent="0.25">
      <c r="A55" s="33"/>
      <c r="B55" s="33"/>
      <c r="C55" s="33"/>
      <c r="D55" s="33"/>
      <c r="E55" s="33"/>
      <c r="F55" s="33"/>
      <c r="G55" s="33"/>
    </row>
    <row r="56" spans="1:7" x14ac:dyDescent="0.25">
      <c r="A56" s="33"/>
      <c r="B56" s="33"/>
      <c r="C56" s="33"/>
      <c r="D56" s="33"/>
      <c r="E56" s="33"/>
      <c r="F56" s="33"/>
      <c r="G56" s="33"/>
    </row>
    <row r="57" spans="1:7" x14ac:dyDescent="0.25">
      <c r="A57" s="35"/>
      <c r="B57" s="36"/>
      <c r="C57" s="36"/>
      <c r="D57" s="33"/>
      <c r="E57" s="36"/>
      <c r="F57" s="36"/>
      <c r="G57" s="33"/>
    </row>
    <row r="58" spans="1:7" x14ac:dyDescent="0.25">
      <c r="A58" s="35"/>
      <c r="B58" s="36"/>
      <c r="C58" s="36"/>
      <c r="D58" s="33"/>
      <c r="E58" s="36"/>
      <c r="F58" s="36"/>
      <c r="G58" s="36"/>
    </row>
    <row r="59" spans="1:7" x14ac:dyDescent="0.25">
      <c r="A59" s="35"/>
      <c r="B59" s="36"/>
      <c r="C59" s="36"/>
      <c r="D59" s="33"/>
      <c r="E59" s="36"/>
      <c r="F59" s="36"/>
      <c r="G59" s="36"/>
    </row>
    <row r="60" spans="1:7" x14ac:dyDescent="0.25">
      <c r="A60" s="35"/>
      <c r="B60" s="36"/>
      <c r="C60" s="36"/>
      <c r="D60" s="33"/>
      <c r="E60" s="36"/>
      <c r="F60" s="36"/>
      <c r="G60" s="36"/>
    </row>
    <row r="61" spans="1:7" x14ac:dyDescent="0.25">
      <c r="A61" s="35"/>
      <c r="B61" s="36"/>
      <c r="C61" s="36"/>
      <c r="D61" s="33"/>
      <c r="E61" s="36"/>
      <c r="F61" s="36"/>
      <c r="G61" s="36"/>
    </row>
    <row r="62" spans="1:7" x14ac:dyDescent="0.25">
      <c r="A62" s="35"/>
      <c r="B62" s="36"/>
      <c r="C62" s="36"/>
      <c r="D62" s="33"/>
      <c r="E62" s="36"/>
      <c r="F62" s="36"/>
      <c r="G62" s="36"/>
    </row>
    <row r="63" spans="1:7" x14ac:dyDescent="0.25">
      <c r="A63" s="35"/>
      <c r="B63" s="36"/>
      <c r="C63" s="36"/>
      <c r="D63" s="33"/>
      <c r="E63" s="36"/>
      <c r="F63" s="36"/>
      <c r="G63" s="36"/>
    </row>
    <row r="64" spans="1:7" x14ac:dyDescent="0.25">
      <c r="A64" s="35"/>
      <c r="B64" s="36"/>
      <c r="C64" s="36"/>
      <c r="D64" s="33"/>
      <c r="E64" s="36"/>
      <c r="F64" s="33"/>
      <c r="G64" s="33"/>
    </row>
    <row r="65" spans="1:7" x14ac:dyDescent="0.25">
      <c r="A65" s="35"/>
      <c r="B65" s="36"/>
      <c r="C65" s="36"/>
      <c r="D65" s="33"/>
      <c r="E65" s="36"/>
      <c r="F65" s="36"/>
      <c r="G65" s="36"/>
    </row>
    <row r="66" spans="1:7" x14ac:dyDescent="0.25">
      <c r="A66" s="33"/>
      <c r="B66" s="33"/>
      <c r="C66" s="33"/>
      <c r="D66" s="33"/>
      <c r="E66" s="33"/>
      <c r="F66" s="33"/>
      <c r="G66" s="33"/>
    </row>
    <row r="67" spans="1:7" x14ac:dyDescent="0.25">
      <c r="A67" s="33"/>
      <c r="B67" s="33"/>
      <c r="C67" s="33"/>
      <c r="D67" s="33"/>
      <c r="E67" s="33"/>
      <c r="F67" s="33"/>
      <c r="G67" s="33"/>
    </row>
    <row r="68" spans="1:7" x14ac:dyDescent="0.25">
      <c r="A68" s="33"/>
      <c r="B68" s="33"/>
      <c r="C68" s="33"/>
      <c r="D68" s="33"/>
      <c r="E68" s="33"/>
      <c r="F68" s="33"/>
      <c r="G68" s="33"/>
    </row>
    <row r="69" spans="1:7" x14ac:dyDescent="0.25">
      <c r="A69" s="33"/>
      <c r="B69" s="33"/>
      <c r="C69" s="33"/>
      <c r="D69" s="33"/>
      <c r="E69" s="33"/>
      <c r="F69" s="33"/>
      <c r="G69" s="33"/>
    </row>
    <row r="70" spans="1:7" x14ac:dyDescent="0.25">
      <c r="A70" s="33"/>
      <c r="B70" s="33"/>
      <c r="C70" s="33"/>
      <c r="D70" s="33"/>
      <c r="E70" s="33"/>
      <c r="F70" s="33"/>
      <c r="G70" s="33"/>
    </row>
    <row r="71" spans="1:7" x14ac:dyDescent="0.25">
      <c r="A71" s="33"/>
      <c r="B71" s="33"/>
      <c r="C71" s="33"/>
      <c r="D71" s="33"/>
      <c r="E71" s="33"/>
      <c r="F71" s="33"/>
      <c r="G71" s="33"/>
    </row>
    <row r="72" spans="1:7" x14ac:dyDescent="0.25">
      <c r="A72" s="33"/>
      <c r="B72" s="33"/>
      <c r="C72" s="33"/>
      <c r="D72" s="33"/>
      <c r="E72" s="33"/>
      <c r="F72" s="33"/>
      <c r="G72" s="33"/>
    </row>
    <row r="73" spans="1:7" x14ac:dyDescent="0.25">
      <c r="A73" s="33"/>
      <c r="B73" s="33"/>
      <c r="C73" s="33"/>
      <c r="D73" s="33"/>
      <c r="E73" s="33"/>
      <c r="F73" s="33"/>
      <c r="G73" s="33"/>
    </row>
    <row r="74" spans="1:7" x14ac:dyDescent="0.25">
      <c r="A74" s="33"/>
      <c r="B74" s="33"/>
      <c r="C74" s="33"/>
      <c r="D74" s="33"/>
      <c r="E74" s="33"/>
      <c r="F74" s="33"/>
      <c r="G74" s="33"/>
    </row>
    <row r="75" spans="1:7" x14ac:dyDescent="0.25">
      <c r="A75" s="35"/>
      <c r="B75" s="36"/>
      <c r="C75" s="36"/>
      <c r="D75" s="33"/>
      <c r="E75" s="36"/>
      <c r="F75" s="36"/>
      <c r="G75" s="36"/>
    </row>
    <row r="76" spans="1:7" x14ac:dyDescent="0.25">
      <c r="A76" s="35"/>
      <c r="B76" s="36"/>
      <c r="C76" s="36"/>
      <c r="D76" s="33"/>
      <c r="E76" s="36"/>
      <c r="F76" s="36"/>
      <c r="G76" s="36"/>
    </row>
    <row r="77" spans="1:7" x14ac:dyDescent="0.25">
      <c r="A77" s="35"/>
      <c r="B77" s="36"/>
      <c r="C77" s="36"/>
      <c r="D77" s="33"/>
      <c r="E77" s="36"/>
      <c r="F77" s="36"/>
      <c r="G77" s="36"/>
    </row>
    <row r="78" spans="1:7" x14ac:dyDescent="0.25">
      <c r="A78" s="35"/>
      <c r="B78" s="36"/>
      <c r="C78" s="36"/>
      <c r="D78" s="33"/>
      <c r="E78" s="36"/>
      <c r="F78" s="36"/>
      <c r="G78" s="36"/>
    </row>
    <row r="79" spans="1:7" x14ac:dyDescent="0.25">
      <c r="A79" s="35"/>
      <c r="B79" s="36"/>
      <c r="C79" s="36"/>
      <c r="D79" s="33"/>
      <c r="E79" s="36"/>
      <c r="F79" s="36"/>
      <c r="G79" s="36"/>
    </row>
    <row r="80" spans="1:7" x14ac:dyDescent="0.25">
      <c r="A80" s="35"/>
      <c r="B80" s="36"/>
      <c r="C80" s="36"/>
      <c r="D80" s="33"/>
      <c r="E80" s="36"/>
      <c r="F80" s="36"/>
      <c r="G80" s="36"/>
    </row>
  </sheetData>
  <sheetProtection algorithmName="SHA-512" hashValue="WXiXP2d8GEoHOipoKOu9aZXU9ZDARGZQPkOaaSBqK4Y8TBwRzvmakyz+vXkOtfZnycGhvrMaz0ZGKirvsvf/RA==" saltValue="+pw3aETcLqsHHvXZxVELsw==" spinCount="100000" sheet="1" objects="1" scenarios="1"/>
  <mergeCells count="5">
    <mergeCell ref="C1:F1"/>
    <mergeCell ref="C2:F2"/>
    <mergeCell ref="B4:E4"/>
    <mergeCell ref="B5:E5"/>
    <mergeCell ref="B6:E6"/>
  </mergeCells>
  <conditionalFormatting sqref="E18 M18 G18:I18 K18">
    <cfRule type="cellIs" dxfId="55" priority="4" stopIfTrue="1" operator="notBetween">
      <formula>$B$23</formula>
      <formula>1.25*thk</formula>
    </cfRule>
  </conditionalFormatting>
  <conditionalFormatting sqref="E24 M24 G24 I24 K24">
    <cfRule type="cellIs" dxfId="54" priority="5" stopIfTrue="1" operator="greaterThan">
      <formula>$B$21</formula>
    </cfRule>
  </conditionalFormatting>
  <conditionalFormatting sqref="E14 M14 G14:I14 K14">
    <cfRule type="cellIs" dxfId="53" priority="6" stopIfTrue="1" operator="equal">
      <formula>"ROLLER TOO HIGH!"</formula>
    </cfRule>
  </conditionalFormatting>
  <conditionalFormatting sqref="N24">
    <cfRule type="cellIs" dxfId="52" priority="7" stopIfTrue="1" operator="equal">
      <formula>"NOT ENOUGH FORCE!"</formula>
    </cfRule>
  </conditionalFormatting>
  <conditionalFormatting sqref="C25">
    <cfRule type="cellIs" dxfId="51" priority="8" stopIfTrue="1" operator="equal">
      <formula>"WILL NOT STRAIGHTEN"</formula>
    </cfRule>
    <cfRule type="cellIs" dxfId="50" priority="9" stopIfTrue="1" operator="equal">
      <formula>"OK"</formula>
    </cfRule>
  </conditionalFormatting>
  <conditionalFormatting sqref="C26">
    <cfRule type="cellIs" dxfId="49" priority="10" stopIfTrue="1" operator="equal">
      <formula>"NOT ENOUGH FORCE"</formula>
    </cfRule>
    <cfRule type="cellIs" dxfId="48" priority="11" stopIfTrue="1" operator="equal">
      <formula>"OK"</formula>
    </cfRule>
  </conditionalFormatting>
  <conditionalFormatting sqref="E26">
    <cfRule type="cellIs" dxfId="47" priority="1" operator="between">
      <formula>47%</formula>
      <formula>70%</formula>
    </cfRule>
    <cfRule type="cellIs" dxfId="46" priority="2" operator="greaterThan">
      <formula>70%</formula>
    </cfRule>
    <cfRule type="cellIs" dxfId="45" priority="3" operator="lessThan">
      <formula>47%</formula>
    </cfRule>
  </conditionalFormatting>
  <dataValidations count="1">
    <dataValidation errorTitle="Roller Depth too great" error="You have engaged the rollers too far." sqref="M18 K18 G18:I18 E18" xr:uid="{8A22B946-ADCE-426C-8B1C-A8CCA75ED94D}"/>
  </dataValidations>
  <pageMargins left="0.75" right="0.75" top="1" bottom="1" header="0.5" footer="0.5"/>
  <pageSetup scale="60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8482" r:id="rId4" name="CommandButton1">
          <controlPr locked="0" defaultSize="0" autoLine="0" r:id="rId5">
            <anchor moveWithCells="1" sizeWithCells="1">
              <from>
                <xdr:col>3</xdr:col>
                <xdr:colOff>0</xdr:colOff>
                <xdr:row>14</xdr:row>
                <xdr:rowOff>19050</xdr:rowOff>
              </from>
              <to>
                <xdr:col>4</xdr:col>
                <xdr:colOff>0</xdr:colOff>
                <xdr:row>15</xdr:row>
                <xdr:rowOff>180975</xdr:rowOff>
              </to>
            </anchor>
          </controlPr>
        </control>
      </mc:Choice>
      <mc:Fallback>
        <control shapeId="148482" r:id="rId4" name="CommandButton1"/>
      </mc:Fallback>
    </mc:AlternateContent>
    <mc:AlternateContent xmlns:mc="http://schemas.openxmlformats.org/markup-compatibility/2006">
      <mc:Choice Requires="x14">
        <control shapeId="148481" r:id="rId6" name="Spinner 1">
          <controlPr locked="0" defaultSize="0" autoPict="0">
            <anchor moveWithCells="1" sizeWithCells="1">
              <from>
                <xdr:col>4</xdr:col>
                <xdr:colOff>9525</xdr:colOff>
                <xdr:row>14</xdr:row>
                <xdr:rowOff>19050</xdr:rowOff>
              </from>
              <to>
                <xdr:col>5</xdr:col>
                <xdr:colOff>0</xdr:colOff>
                <xdr:row>15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8483" r:id="rId7" name="Button 3">
          <controlPr defaultSize="0" print="0" autoFill="0" autoPict="0" macro="[0]!Tbl_Contents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190500</xdr:colOff>
                <xdr:row>1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8490" r:id="rId8" name="Check Box 10">
          <controlPr defaultSize="0" autoFill="0" autoLine="0" autoPict="0" altText="Confirmed">
            <anchor moveWithCells="1">
              <from>
                <xdr:col>1</xdr:col>
                <xdr:colOff>104775</xdr:colOff>
                <xdr:row>27</xdr:row>
                <xdr:rowOff>142875</xdr:rowOff>
              </from>
              <to>
                <xdr:col>1</xdr:col>
                <xdr:colOff>847725</xdr:colOff>
                <xdr:row>27</xdr:row>
                <xdr:rowOff>457200</xdr:rowOff>
              </to>
            </anchor>
          </controlPr>
        </control>
      </mc:Choice>
    </mc:AlternateContent>
  </control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C408EA-0B31-48A4-A973-C977B992B54E}">
  <sheetPr codeName="Sheet56">
    <tabColor rgb="FF66FFFF"/>
    <pageSetUpPr fitToPage="1"/>
  </sheetPr>
  <dimension ref="A1:Q80"/>
  <sheetViews>
    <sheetView zoomScale="85" workbookViewId="0">
      <selection activeCell="B28" sqref="B28"/>
    </sheetView>
  </sheetViews>
  <sheetFormatPr defaultRowHeight="15" x14ac:dyDescent="0.25"/>
  <cols>
    <col min="1" max="1" width="21.5703125" customWidth="1"/>
    <col min="2" max="2" width="15.5703125" customWidth="1"/>
    <col min="3" max="4" width="15.140625" customWidth="1"/>
    <col min="5" max="5" width="14.7109375" customWidth="1"/>
    <col min="6" max="6" width="13" customWidth="1"/>
    <col min="7" max="9" width="14.140625" customWidth="1"/>
    <col min="10" max="12" width="12.42578125" customWidth="1"/>
    <col min="13" max="13" width="14.140625" customWidth="1"/>
    <col min="14" max="14" width="12.7109375" customWidth="1"/>
  </cols>
  <sheetData>
    <row r="1" spans="1:13" ht="15.75" x14ac:dyDescent="0.25">
      <c r="A1" s="33"/>
      <c r="B1" s="33"/>
      <c r="C1" s="999" t="s">
        <v>0</v>
      </c>
      <c r="D1" s="999"/>
      <c r="E1" s="999"/>
      <c r="F1" s="999"/>
      <c r="G1" s="33"/>
      <c r="H1" s="33"/>
      <c r="I1" s="33"/>
      <c r="J1" s="33"/>
      <c r="K1" s="33"/>
      <c r="L1" s="33"/>
      <c r="M1" s="33"/>
    </row>
    <row r="2" spans="1:13" x14ac:dyDescent="0.25">
      <c r="A2" s="33"/>
      <c r="B2" s="33"/>
      <c r="C2" s="1000" t="s">
        <v>372</v>
      </c>
      <c r="D2" s="1000"/>
      <c r="E2" s="1000"/>
      <c r="F2" s="1000"/>
      <c r="G2" s="33"/>
      <c r="H2" s="33"/>
      <c r="I2" s="33"/>
      <c r="J2" s="33"/>
      <c r="K2" s="33"/>
      <c r="L2" s="33"/>
      <c r="M2" s="33"/>
    </row>
    <row r="4" spans="1:13" x14ac:dyDescent="0.25">
      <c r="A4" s="143" t="s">
        <v>1</v>
      </c>
      <c r="B4" s="1001" t="str">
        <f>Customer</f>
        <v>ULTRATECH TOOL&amp; DESIGN, INC.</v>
      </c>
      <c r="C4" s="1001"/>
      <c r="D4" s="1001"/>
      <c r="E4" s="1001"/>
      <c r="F4" s="33"/>
      <c r="G4" s="33"/>
      <c r="H4" s="33"/>
      <c r="I4" s="33"/>
      <c r="J4" s="33"/>
      <c r="K4" s="33"/>
      <c r="L4" s="33"/>
      <c r="M4" s="33"/>
    </row>
    <row r="5" spans="1:13" x14ac:dyDescent="0.25">
      <c r="A5" s="143" t="s">
        <v>2</v>
      </c>
      <c r="B5" s="1002">
        <f>CalcDate</f>
        <v>0</v>
      </c>
      <c r="C5" s="1001"/>
      <c r="D5" s="1001"/>
      <c r="E5" s="1001"/>
      <c r="F5" s="33"/>
      <c r="G5" s="33"/>
      <c r="H5" s="33"/>
      <c r="I5" s="33"/>
      <c r="J5" s="33"/>
      <c r="K5" s="33"/>
      <c r="L5" s="33"/>
      <c r="M5" s="33"/>
    </row>
    <row r="6" spans="1:13" x14ac:dyDescent="0.25">
      <c r="A6" s="143" t="s">
        <v>3</v>
      </c>
      <c r="B6" s="1001">
        <f>Reference</f>
        <v>0</v>
      </c>
      <c r="C6" s="1001"/>
      <c r="D6" s="1001"/>
      <c r="E6" s="1001"/>
      <c r="F6" s="33"/>
      <c r="G6" s="33"/>
      <c r="H6" s="33"/>
      <c r="I6" s="33"/>
      <c r="J6" s="33"/>
      <c r="K6" s="33"/>
      <c r="L6" s="33"/>
      <c r="M6" s="33"/>
    </row>
    <row r="8" spans="1:13" ht="16.5" customHeight="1" x14ac:dyDescent="0.25">
      <c r="A8" s="146"/>
      <c r="B8" s="147"/>
      <c r="C8" s="148"/>
      <c r="D8" s="123" t="s">
        <v>366</v>
      </c>
      <c r="E8" s="132">
        <v>-60</v>
      </c>
      <c r="F8" s="33" t="s">
        <v>365</v>
      </c>
      <c r="G8" s="33"/>
      <c r="H8" s="33"/>
      <c r="I8" s="33"/>
      <c r="J8" s="33"/>
      <c r="K8" s="33"/>
      <c r="L8" s="33"/>
      <c r="M8" s="33"/>
    </row>
    <row r="9" spans="1:13" x14ac:dyDescent="0.25">
      <c r="A9" s="149"/>
      <c r="B9" s="141"/>
      <c r="C9" s="148"/>
      <c r="D9" s="123" t="s">
        <v>364</v>
      </c>
      <c r="E9" s="132">
        <f>IF(ABS(1/$E$8)&gt;curv_at_yld, 1/((1/$E$8)-((ABS($E$8)/$E$8)*(1.5*(1-$F$32))*curv_at_yld*(1-((1/3)*(curv_at_yld/(1/$E$8))^2)))), IF($F$32=0, ABS($E$8)/$E$8*99999, $E$8/$F$32))</f>
        <v>-181.81818181818181</v>
      </c>
      <c r="F9" s="33" t="s">
        <v>363</v>
      </c>
      <c r="G9" s="33"/>
      <c r="H9" s="33"/>
      <c r="I9" s="33"/>
      <c r="J9" s="33"/>
      <c r="K9" s="33"/>
      <c r="L9" s="33"/>
      <c r="M9" s="33"/>
    </row>
    <row r="10" spans="1:13" ht="15.75" thickBot="1" x14ac:dyDescent="0.3">
      <c r="A10" s="33"/>
      <c r="B10" s="33"/>
      <c r="C10" s="33"/>
      <c r="D10" s="123" t="s">
        <v>362</v>
      </c>
      <c r="E10" s="138">
        <f>1/$E$9</f>
        <v>-5.5000000000000005E-3</v>
      </c>
      <c r="F10" s="33"/>
      <c r="G10" s="33"/>
      <c r="H10" s="33"/>
      <c r="I10" s="33"/>
      <c r="J10" s="33"/>
      <c r="K10" s="33"/>
      <c r="L10" s="33"/>
      <c r="M10" s="33"/>
    </row>
    <row r="11" spans="1:13" x14ac:dyDescent="0.25">
      <c r="A11" s="140" t="s">
        <v>361</v>
      </c>
      <c r="B11" s="139">
        <f>CoilWidth_4</f>
        <v>42</v>
      </c>
      <c r="C11" s="33" t="s">
        <v>336</v>
      </c>
      <c r="D11" s="123" t="s">
        <v>360</v>
      </c>
      <c r="E11" s="138">
        <f>2*yield/(thk*modulus)</f>
        <v>3.4482758620689655E-2</v>
      </c>
      <c r="F11" s="33"/>
      <c r="G11" s="33"/>
      <c r="H11" s="33"/>
      <c r="I11" s="33"/>
      <c r="J11" s="33"/>
      <c r="K11" s="33"/>
      <c r="L11" s="33"/>
      <c r="M11" s="33"/>
    </row>
    <row r="12" spans="1:13" x14ac:dyDescent="0.25">
      <c r="A12" s="135" t="s">
        <v>359</v>
      </c>
      <c r="B12" s="137">
        <f>Thickness_4</f>
        <v>0.06</v>
      </c>
      <c r="C12" s="36" t="s">
        <v>336</v>
      </c>
      <c r="D12" s="136" t="s">
        <v>358</v>
      </c>
      <c r="E12" s="132">
        <f>1/curv_at_yld</f>
        <v>29</v>
      </c>
      <c r="F12" s="33" t="s">
        <v>357</v>
      </c>
      <c r="G12" s="33"/>
      <c r="H12" s="33"/>
      <c r="I12" s="33"/>
      <c r="J12" s="33"/>
      <c r="K12" s="33"/>
      <c r="L12" s="33"/>
      <c r="M12" s="33"/>
    </row>
    <row r="13" spans="1:13" x14ac:dyDescent="0.25">
      <c r="A13" s="135" t="s">
        <v>356</v>
      </c>
      <c r="B13" s="437">
        <f>YieldStrength_4</f>
        <v>30000</v>
      </c>
      <c r="C13" s="130" t="s">
        <v>11</v>
      </c>
      <c r="D13" s="133" t="s">
        <v>355</v>
      </c>
      <c r="E13" s="132">
        <f>width*yield*(thk^2)/6</f>
        <v>756</v>
      </c>
      <c r="F13" s="33" t="s">
        <v>354</v>
      </c>
      <c r="G13" s="33"/>
      <c r="H13" s="33"/>
      <c r="I13" s="33"/>
      <c r="J13" s="33"/>
      <c r="K13" s="33"/>
      <c r="L13" s="33"/>
      <c r="M13" s="33"/>
    </row>
    <row r="14" spans="1:13" ht="17.25" customHeight="1" x14ac:dyDescent="0.25">
      <c r="A14" s="131" t="s">
        <v>353</v>
      </c>
      <c r="B14" s="441" t="str">
        <f>Material_4</f>
        <v>HS Steel</v>
      </c>
      <c r="C14" s="130"/>
      <c r="D14" s="130"/>
      <c r="E14" s="129" t="str">
        <f>IF(E21&gt;0,"", "ROLLER TOO HIGH!")</f>
        <v/>
      </c>
      <c r="F14" s="33"/>
      <c r="G14" s="129" t="str">
        <f>IF(G21&gt;0,"", "ROLLER TOO HIGH!")</f>
        <v/>
      </c>
      <c r="H14" s="129"/>
      <c r="I14" s="129" t="str">
        <f>IF(I21&gt;0,"", "ROLLER TOO HIGH!")</f>
        <v/>
      </c>
      <c r="J14" s="33"/>
      <c r="K14" s="129" t="str">
        <f>IF(K21&gt;0,"", "ROLLER TOO HIGH!")</f>
        <v/>
      </c>
      <c r="L14" s="33"/>
      <c r="M14" s="129" t="str">
        <f>IF(M21&gt;0,"", "ROLLER TOO HIGH!")</f>
        <v/>
      </c>
    </row>
    <row r="15" spans="1:13" ht="17.25" customHeight="1" thickBot="1" x14ac:dyDescent="0.3">
      <c r="A15" s="151" t="s">
        <v>369</v>
      </c>
      <c r="B15" s="441" t="str">
        <f>'Str. Utility (4)'!model</f>
        <v>CPPS-507</v>
      </c>
      <c r="C15" s="36"/>
      <c r="D15" s="33"/>
      <c r="E15" s="33"/>
      <c r="F15" s="33"/>
      <c r="G15" s="33"/>
      <c r="H15" s="33"/>
      <c r="I15" s="33"/>
      <c r="J15" s="33"/>
      <c r="K15" s="33"/>
      <c r="L15" s="33"/>
      <c r="M15" s="33"/>
    </row>
    <row r="16" spans="1:13" ht="15" customHeight="1" thickBot="1" x14ac:dyDescent="0.3">
      <c r="A16" s="68"/>
      <c r="B16" s="33"/>
      <c r="C16" s="36"/>
      <c r="D16" s="33"/>
      <c r="E16" s="152">
        <v>9549.0865921663462</v>
      </c>
      <c r="F16" s="33"/>
      <c r="G16" s="46"/>
      <c r="H16" s="46"/>
      <c r="I16" s="46"/>
      <c r="J16" s="33"/>
      <c r="K16" s="33"/>
      <c r="L16" s="33"/>
      <c r="M16" s="46"/>
    </row>
    <row r="17" spans="1:17" ht="15.75" thickBot="1" x14ac:dyDescent="0.3">
      <c r="A17" s="123"/>
      <c r="B17" s="33"/>
      <c r="C17" s="33"/>
      <c r="D17" s="122"/>
      <c r="E17" s="121" t="s">
        <v>351</v>
      </c>
      <c r="F17" s="119"/>
      <c r="G17" s="120" t="s">
        <v>350</v>
      </c>
      <c r="H17" s="120"/>
      <c r="I17" s="120" t="s">
        <v>350</v>
      </c>
      <c r="J17" s="119"/>
      <c r="K17" s="120" t="s">
        <v>350</v>
      </c>
      <c r="L17" s="166"/>
      <c r="M17" s="118" t="s">
        <v>349</v>
      </c>
      <c r="N17" s="33"/>
      <c r="O17" s="33"/>
      <c r="P17" s="33"/>
      <c r="Q17" s="65"/>
    </row>
    <row r="18" spans="1:17" ht="21.75" customHeight="1" x14ac:dyDescent="0.25">
      <c r="A18" s="153" t="s">
        <v>348</v>
      </c>
      <c r="B18" s="116">
        <f>VLOOKUP($B$15,LookupStrModel,2,FALSE)</f>
        <v>5</v>
      </c>
      <c r="C18" s="71" t="s">
        <v>336</v>
      </c>
      <c r="D18" s="154" t="s">
        <v>370</v>
      </c>
      <c r="E18" s="114">
        <f>IF((E16-10000)/1000&lt;$B23, "TOO DEEP!", (E16-10000)/1000)</f>
        <v>-0.45091340783365375</v>
      </c>
      <c r="F18" s="112"/>
      <c r="G18" s="113">
        <f>E18+((M18-E18)/4)</f>
        <v>-0.32618505587524033</v>
      </c>
      <c r="H18" s="155"/>
      <c r="I18" s="113">
        <f>G18+((M18-E18)/4)</f>
        <v>-0.20145670391682691</v>
      </c>
      <c r="J18" s="112"/>
      <c r="K18" s="113">
        <f>I18+((M18-E18)/4)</f>
        <v>-7.6728351958413474E-2</v>
      </c>
      <c r="L18" s="167"/>
      <c r="M18" s="111">
        <f>thk*0.8</f>
        <v>4.8000000000000001E-2</v>
      </c>
      <c r="N18" s="33"/>
      <c r="O18" s="33"/>
      <c r="P18" s="33"/>
      <c r="Q18" s="33"/>
    </row>
    <row r="19" spans="1:17" ht="25.5" x14ac:dyDescent="0.25">
      <c r="A19" s="131" t="s">
        <v>346</v>
      </c>
      <c r="B19" s="98">
        <f>VLOOKUP($B$15,LookupStrModel,3,FALSE)</f>
        <v>9</v>
      </c>
      <c r="C19" s="71" t="s">
        <v>336</v>
      </c>
      <c r="D19" s="156" t="s">
        <v>345</v>
      </c>
      <c r="E19" s="109">
        <f>(1.314-$D$31*thk+$D$32*E18)*((-0.25*cent_dist^2)-(E18^2)+(2*E18*thk)-thk^2)/(4*(E18+0.00000001)-4*thk)</f>
        <v>12.373295994793651</v>
      </c>
      <c r="F19" s="93">
        <f>-E19</f>
        <v>-12.373295994793651</v>
      </c>
      <c r="G19" s="93">
        <f>((-0.25*cent_dist^2)-(G$18^2)+(2*G$18*thk)-thk^2)/(4*(G$18+0.00000001)-4*thk)</f>
        <v>13.205546871415784</v>
      </c>
      <c r="H19" s="93">
        <f>-G19</f>
        <v>-13.205546871415784</v>
      </c>
      <c r="I19" s="93">
        <f>((-0.25*cent_dist^2)-(I$18^2)+(2*I$18*thk)-thk^2)/(4*(I$18+0.00000001)-4*thk)</f>
        <v>19.428035388612585</v>
      </c>
      <c r="J19" s="93">
        <f>-I19</f>
        <v>-19.428035388612585</v>
      </c>
      <c r="K19" s="93">
        <f>((-0.25*cent_dist^2)-(K$18^2)+(2*K$18*thk)-thk^2)/(4*(K$18+0.00000001)-4*thk)</f>
        <v>37.060155838783729</v>
      </c>
      <c r="L19" s="93">
        <f>-K19</f>
        <v>-37.060155838783729</v>
      </c>
      <c r="M19" s="108">
        <f>(1.314-$D$31*thk+$D$32*M18)*((-0.25*cent_dist^2)-(M18^2)+(2*M18*thk)-thk^2)/(4*(M18+0.00000001)-4*thk)</f>
        <v>557.99318291431928</v>
      </c>
      <c r="N19" s="33"/>
      <c r="O19" s="33"/>
      <c r="P19" s="33"/>
      <c r="Q19" s="33"/>
    </row>
    <row r="20" spans="1:17" ht="25.5" x14ac:dyDescent="0.25">
      <c r="A20" s="131" t="s">
        <v>344</v>
      </c>
      <c r="B20" s="107">
        <f>VLOOKUP($B$14,LookupMaterial,3, FALSE)</f>
        <v>29000000</v>
      </c>
      <c r="C20" s="71" t="s">
        <v>11</v>
      </c>
      <c r="D20" s="157" t="s">
        <v>343</v>
      </c>
      <c r="E20" s="105" t="s">
        <v>277</v>
      </c>
      <c r="F20" s="104" t="s">
        <v>278</v>
      </c>
      <c r="G20" s="104" t="s">
        <v>277</v>
      </c>
      <c r="H20" s="104" t="s">
        <v>278</v>
      </c>
      <c r="I20" s="104" t="s">
        <v>277</v>
      </c>
      <c r="J20" s="104" t="s">
        <v>278</v>
      </c>
      <c r="K20" s="104" t="s">
        <v>277</v>
      </c>
      <c r="L20" s="104" t="s">
        <v>278</v>
      </c>
      <c r="M20" s="103" t="s">
        <v>277</v>
      </c>
      <c r="N20" s="33"/>
      <c r="O20" s="33"/>
      <c r="P20" s="33"/>
      <c r="Q20" s="33"/>
    </row>
    <row r="21" spans="1:17" ht="27.75" customHeight="1" x14ac:dyDescent="0.25">
      <c r="A21" s="131" t="s">
        <v>342</v>
      </c>
      <c r="B21" s="158">
        <f>VLOOKUP($B$15,LookupStrModel,5,FALSE)</f>
        <v>60000</v>
      </c>
      <c r="C21" s="159" t="s">
        <v>341</v>
      </c>
      <c r="D21" s="156" t="s">
        <v>340</v>
      </c>
      <c r="E21" s="88">
        <f>1/E19-$E$10</f>
        <v>8.6319209402310679E-2</v>
      </c>
      <c r="F21" s="87">
        <f t="shared" ref="F21:L21" si="0">1/F19-1/E27</f>
        <v>-0.11266572756358964</v>
      </c>
      <c r="G21" s="87">
        <f t="shared" si="0"/>
        <v>0.10643589969257991</v>
      </c>
      <c r="H21" s="87">
        <f t="shared" si="0"/>
        <v>-0.10153704247427474</v>
      </c>
      <c r="I21" s="87">
        <f t="shared" si="0"/>
        <v>7.7462131294955536E-2</v>
      </c>
      <c r="J21" s="87">
        <f t="shared" si="0"/>
        <v>-5.4636502318125134E-2</v>
      </c>
      <c r="K21" s="87">
        <f t="shared" si="0"/>
        <v>3.3598710205462075E-2</v>
      </c>
      <c r="L21" s="87">
        <f t="shared" si="0"/>
        <v>-2.0367603608766015E-2</v>
      </c>
      <c r="M21" s="86">
        <f>1/M19-1/J27</f>
        <v>8.4076898882202242E-3</v>
      </c>
      <c r="N21" s="33"/>
      <c r="O21" s="33"/>
      <c r="P21" s="33"/>
      <c r="Q21" s="33"/>
    </row>
    <row r="22" spans="1:17" ht="45" customHeight="1" x14ac:dyDescent="0.25">
      <c r="A22" s="160" t="s">
        <v>339</v>
      </c>
      <c r="B22" s="98">
        <f>VLOOKUP($B$15,LookupStrModel,6,FALSE)</f>
        <v>-1.25</v>
      </c>
      <c r="C22" s="71" t="s">
        <v>336</v>
      </c>
      <c r="D22" s="161" t="s">
        <v>338</v>
      </c>
      <c r="E22" s="94">
        <f t="shared" ref="E22:M22" si="1">IF(ABS(E21)&lt;curv_at_yld, (modulus*width*thk^3)/(12)*(E21), (ABS(E21)/E21)*1.5*My*(1-1/3*((curv_at_yld/E21)^2)))</f>
        <v>1073.677282768379</v>
      </c>
      <c r="F22" s="93">
        <f t="shared" si="1"/>
        <v>-1098.5911230317436</v>
      </c>
      <c r="G22" s="93">
        <f t="shared" si="1"/>
        <v>1094.3247627052133</v>
      </c>
      <c r="H22" s="93">
        <f t="shared" si="1"/>
        <v>-1090.4039857961727</v>
      </c>
      <c r="I22" s="93">
        <f t="shared" si="1"/>
        <v>1059.0939458797677</v>
      </c>
      <c r="J22" s="93">
        <f t="shared" si="1"/>
        <v>-983.43292083818926</v>
      </c>
      <c r="K22" s="93">
        <f>IF(ABS(K21)&lt;curv_at_yld, (modulus*width*thk^3)/(12)*(K21), (ABS(K21)/K21)*1.5*My*(1-1/3*((curv_at_yld/K21)^2)))</f>
        <v>736.61812254455049</v>
      </c>
      <c r="L22" s="93">
        <f>IF(ABS(L21)&lt;curv_at_yld, (modulus*width*thk^3)/(12)*(L21), (ABS(L21)/L21)*1.5*My*(1-1/3*((curv_at_yld/L21)^2)))</f>
        <v>-446.53934151858613</v>
      </c>
      <c r="M22" s="92">
        <f t="shared" si="1"/>
        <v>184.3301931093402</v>
      </c>
      <c r="N22" s="33"/>
      <c r="O22" s="33"/>
      <c r="P22" s="33"/>
      <c r="Q22" s="33"/>
    </row>
    <row r="23" spans="1:17" ht="45" customHeight="1" thickBot="1" x14ac:dyDescent="0.3">
      <c r="A23" s="162" t="s">
        <v>337</v>
      </c>
      <c r="B23" s="163">
        <f>IF((B$18+thk)^2-(cent_dist/2)^2&lt;0, B22, IF(B$18-SQRT((B$18+thk)^2-(cent_dist/2)^2)&lt;-B22, -B$18+SQRT((B$18+thk)^2-(cent_dist/2)^2), B22))</f>
        <v>-1.25</v>
      </c>
      <c r="C23" s="71" t="s">
        <v>336</v>
      </c>
      <c r="D23" s="156" t="s">
        <v>335</v>
      </c>
      <c r="E23" s="88">
        <f t="shared" ref="E23:M23" si="2">E22/My</f>
        <v>1.4202080459899193</v>
      </c>
      <c r="F23" s="87">
        <f t="shared" si="2"/>
        <v>-1.4531628611531</v>
      </c>
      <c r="G23" s="87">
        <f t="shared" si="2"/>
        <v>1.4475195273878483</v>
      </c>
      <c r="H23" s="87">
        <f t="shared" si="2"/>
        <v>-1.442333314545202</v>
      </c>
      <c r="I23" s="87">
        <f t="shared" si="2"/>
        <v>1.4009179178303806</v>
      </c>
      <c r="J23" s="87">
        <f t="shared" si="2"/>
        <v>-1.3008371968759118</v>
      </c>
      <c r="K23" s="87">
        <f>K22/My</f>
        <v>0.97436259595840014</v>
      </c>
      <c r="L23" s="87">
        <f>L22/My</f>
        <v>-0.59066050465421449</v>
      </c>
      <c r="M23" s="86">
        <f t="shared" si="2"/>
        <v>0.2438230067583865</v>
      </c>
      <c r="N23" s="33"/>
      <c r="O23" s="33"/>
      <c r="P23" s="33"/>
      <c r="Q23" s="33"/>
    </row>
    <row r="24" spans="1:17" ht="45" customHeight="1" thickBot="1" x14ac:dyDescent="0.3">
      <c r="A24" s="72"/>
      <c r="B24" s="71"/>
      <c r="C24" s="71"/>
      <c r="D24" s="156" t="s">
        <v>334</v>
      </c>
      <c r="E24" s="94">
        <f>E22*5.333/cent_dist</f>
        <v>636.21343877819618</v>
      </c>
      <c r="F24" s="93"/>
      <c r="G24" s="93">
        <f>G22*5.333/cent_dist</f>
        <v>648.44821772298917</v>
      </c>
      <c r="H24" s="93"/>
      <c r="I24" s="93">
        <f>I22*5.333/cent_dist</f>
        <v>627.57200148631136</v>
      </c>
      <c r="J24" s="93"/>
      <c r="K24" s="93">
        <f>K22*5.333/cent_dist</f>
        <v>436.48716083667642</v>
      </c>
      <c r="L24" s="93"/>
      <c r="M24" s="92">
        <f>M22*5.3333/cent_dist</f>
        <v>109.23202432333824</v>
      </c>
      <c r="N24" s="91" t="str">
        <f>IF(E24&gt;B21, "NOT ENOUGH FORCE!", IF(G24&gt;B21, "NOT ENOUGH FORCE!", IF(M24&gt;B21, "NOT ENOUGH FORCE!", "")))</f>
        <v/>
      </c>
      <c r="O24" s="33"/>
      <c r="P24" s="33"/>
      <c r="Q24" s="33"/>
    </row>
    <row r="25" spans="1:17" ht="50.25" customHeight="1" x14ac:dyDescent="0.25">
      <c r="A25" s="90" t="s">
        <v>333</v>
      </c>
      <c r="B25" s="89">
        <f>-(1.5*rad_at_yld-thk-SQRT(ABS(((1.5*rad_at_yld)^2)-(cent_dist/2)^2)))</f>
        <v>-0.1733846944321229</v>
      </c>
      <c r="C25" s="81" t="str">
        <f>IF(B25&gt;B23, "OK", "WILL NOT STRAIGHTEN")</f>
        <v>OK</v>
      </c>
      <c r="D25" s="156" t="s">
        <v>332</v>
      </c>
      <c r="E25" s="88">
        <f t="shared" ref="E25:M25" si="3">-curv_at_yld*E23</f>
        <v>-4.89726912410317E-2</v>
      </c>
      <c r="F25" s="87">
        <f t="shared" si="3"/>
        <v>5.0109064177693105E-2</v>
      </c>
      <c r="G25" s="87">
        <f t="shared" si="3"/>
        <v>-4.9914466461649938E-2</v>
      </c>
      <c r="H25" s="87">
        <f t="shared" si="3"/>
        <v>4.973563153604145E-2</v>
      </c>
      <c r="I25" s="87">
        <f t="shared" si="3"/>
        <v>-4.8307514407944153E-2</v>
      </c>
      <c r="J25" s="87">
        <f t="shared" si="3"/>
        <v>4.4856455064686614E-2</v>
      </c>
      <c r="K25" s="87">
        <f t="shared" si="3"/>
        <v>-3.3598710205462075E-2</v>
      </c>
      <c r="L25" s="87">
        <f t="shared" si="3"/>
        <v>2.0367603608766018E-2</v>
      </c>
      <c r="M25" s="86">
        <f t="shared" si="3"/>
        <v>-8.4076898882202242E-3</v>
      </c>
      <c r="N25" s="33"/>
      <c r="O25" s="33"/>
      <c r="P25" s="33"/>
      <c r="Q25" s="33"/>
    </row>
    <row r="26" spans="1:17" ht="51.75" customHeight="1" x14ac:dyDescent="0.25">
      <c r="A26" s="626" t="s">
        <v>371</v>
      </c>
      <c r="B26" s="627">
        <f>(16*yield*width*thk^2)/(15*cent_dist)</f>
        <v>537.6</v>
      </c>
      <c r="C26" s="81" t="str">
        <f>IF(B26&lt;B21, "OK", "NOT ENOUGH FORCE")</f>
        <v>OK</v>
      </c>
      <c r="D26" s="156" t="s">
        <v>330</v>
      </c>
      <c r="E26" s="84">
        <f t="shared" ref="E26:M26" si="4">IF(curv_at_yld&lt;ABS(E21),1-ABS(curv_at_yld/E21), "NONE")</f>
        <v>0.60052045356468953</v>
      </c>
      <c r="F26" s="83">
        <f t="shared" si="4"/>
        <v>0.69393746113939359</v>
      </c>
      <c r="G26" s="83">
        <f t="shared" si="4"/>
        <v>0.67602323351156302</v>
      </c>
      <c r="H26" s="83">
        <f t="shared" si="4"/>
        <v>0.6603923279582804</v>
      </c>
      <c r="I26" s="83">
        <f t="shared" si="4"/>
        <v>0.55484366303596366</v>
      </c>
      <c r="J26" s="83">
        <f t="shared" si="4"/>
        <v>0.36886958063473385</v>
      </c>
      <c r="K26" s="83" t="str">
        <f t="shared" si="4"/>
        <v>NONE</v>
      </c>
      <c r="L26" s="83" t="str">
        <f t="shared" si="4"/>
        <v>NONE</v>
      </c>
      <c r="M26" s="82" t="str">
        <f t="shared" si="4"/>
        <v>NONE</v>
      </c>
      <c r="N26" s="33"/>
      <c r="O26" s="33"/>
      <c r="P26" s="33"/>
      <c r="Q26" s="33"/>
    </row>
    <row r="27" spans="1:17" ht="51.75" customHeight="1" thickBot="1" x14ac:dyDescent="0.3">
      <c r="A27" s="624" t="s">
        <v>1119</v>
      </c>
      <c r="B27" s="628" t="str">
        <f>IF(AND(E26&gt;=BackbendMin, E26&lt;=BackbendMax), IF(AND(E26 &lt;= BackbendConfirm, B28=FALSE), BackbendNCText, BackbendOKText), BackbendNOText)</f>
        <v>OK</v>
      </c>
      <c r="C27" s="71"/>
      <c r="D27" s="164" t="s">
        <v>328</v>
      </c>
      <c r="E27" s="75">
        <f t="shared" ref="E27:L27" si="5">1/((1/E19)+E25)</f>
        <v>31.400606965437866</v>
      </c>
      <c r="F27" s="74">
        <f t="shared" si="5"/>
        <v>-32.562529180044052</v>
      </c>
      <c r="G27" s="74">
        <f t="shared" si="5"/>
        <v>38.742739213767258</v>
      </c>
      <c r="H27" s="74">
        <f t="shared" si="5"/>
        <v>-38.476155061652548</v>
      </c>
      <c r="I27" s="74">
        <f t="shared" si="5"/>
        <v>316.00629174575386</v>
      </c>
      <c r="J27" s="74">
        <f t="shared" si="5"/>
        <v>-151.15893635831034</v>
      </c>
      <c r="K27" s="74">
        <f t="shared" si="5"/>
        <v>-151.15893635831034</v>
      </c>
      <c r="L27" s="74">
        <f t="shared" si="5"/>
        <v>-151.15893635831043</v>
      </c>
      <c r="M27" s="165">
        <f>IF(ABS((1/M19)+M25)&lt;0.00001, "FLAT", 1/((1/M19)+M25))</f>
        <v>-151.15893635831037</v>
      </c>
      <c r="N27" s="33"/>
      <c r="O27" s="33"/>
      <c r="P27" s="33"/>
      <c r="Q27" s="33"/>
    </row>
    <row r="28" spans="1:17" ht="45" customHeight="1" x14ac:dyDescent="0.25">
      <c r="A28" s="72"/>
      <c r="B28" s="689" t="b">
        <v>0</v>
      </c>
      <c r="C28" s="71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</row>
    <row r="29" spans="1:17" x14ac:dyDescent="0.25">
      <c r="A29" s="33"/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</row>
    <row r="31" spans="1:17" x14ac:dyDescent="0.25">
      <c r="A31" s="46"/>
      <c r="B31" s="46"/>
      <c r="C31" s="46"/>
      <c r="D31" s="37"/>
      <c r="E31" s="68"/>
      <c r="F31" s="67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</row>
    <row r="32" spans="1:17" hidden="1" x14ac:dyDescent="0.25">
      <c r="A32" s="46"/>
      <c r="B32" s="46"/>
      <c r="C32" s="46" t="s">
        <v>169</v>
      </c>
      <c r="D32" s="37">
        <f>VLOOKUP($B$15,LookupStrModel,7,FALSE)</f>
        <v>0.18</v>
      </c>
      <c r="E32" s="68" t="s">
        <v>327</v>
      </c>
      <c r="F32" s="67">
        <v>0.33</v>
      </c>
      <c r="G32" s="33">
        <f>E19/H33</f>
        <v>1.0623967940357308</v>
      </c>
      <c r="H32" s="33" t="s">
        <v>326</v>
      </c>
      <c r="I32" s="33" t="s">
        <v>293</v>
      </c>
      <c r="J32" s="33" t="s">
        <v>292</v>
      </c>
      <c r="K32" s="33" t="s">
        <v>291</v>
      </c>
      <c r="L32" s="33"/>
      <c r="M32" s="33"/>
      <c r="N32" s="33"/>
      <c r="O32" s="33"/>
      <c r="P32" s="33"/>
      <c r="Q32" s="33"/>
    </row>
    <row r="33" spans="1:13" hidden="1" x14ac:dyDescent="0.25">
      <c r="A33" s="46"/>
      <c r="B33" s="46"/>
      <c r="C33" s="46" t="s">
        <v>166</v>
      </c>
      <c r="D33" s="37">
        <f>VLOOKUP($B$15,LookupStrModel,8,FALSE)</f>
        <v>0.18</v>
      </c>
      <c r="E33" s="33"/>
      <c r="F33" s="33"/>
      <c r="G33" s="33"/>
      <c r="H33" s="65">
        <f>rad_at_yld/2.49</f>
        <v>11.646586345381525</v>
      </c>
      <c r="I33" s="65">
        <f>H33-(SQRT(((H33+(thk/4))^2)-((cent_dist/4)^2)))</f>
        <v>0.20411737706927369</v>
      </c>
      <c r="J33" s="65">
        <f>ABS(I33)*-2 * 1.07</f>
        <v>-0.43681118692824572</v>
      </c>
      <c r="K33" s="65">
        <f>10000+(L41*1000)</f>
        <v>9549.0865921663462</v>
      </c>
      <c r="L33" s="33">
        <f>10000+(B22*1000)</f>
        <v>8750</v>
      </c>
      <c r="M33" s="33">
        <f>IF(K33&gt;L33,K33,L33)</f>
        <v>9549.0865921663462</v>
      </c>
    </row>
    <row r="34" spans="1:13" hidden="1" x14ac:dyDescent="0.25">
      <c r="A34" s="46"/>
      <c r="B34" s="46"/>
      <c r="C34" s="33"/>
      <c r="D34" s="33"/>
      <c r="E34" s="33"/>
      <c r="F34" s="33"/>
      <c r="G34" s="33"/>
      <c r="H34" s="33"/>
      <c r="I34" s="65">
        <f>H33-(SQRT(((H33+(thk/4))*((H33+(thk/4)))-(((cent_dist/4)*(cent_dist/4))))))</f>
        <v>0.20411737706927369</v>
      </c>
      <c r="J34" s="33"/>
      <c r="K34" s="33"/>
      <c r="L34" s="33"/>
      <c r="M34" s="33"/>
    </row>
    <row r="35" spans="1:13" hidden="1" x14ac:dyDescent="0.25">
      <c r="A35" s="46"/>
      <c r="B35" s="46"/>
      <c r="C35" s="33"/>
      <c r="D35" s="33"/>
      <c r="E35" s="33"/>
      <c r="F35" s="33"/>
      <c r="G35" s="33"/>
      <c r="H35" s="33"/>
      <c r="I35" s="65">
        <f>(SQRT(((H33+(thk/4))*((H33+(thk/4)))-(((cent_dist/4)*(cent_dist/4))))))</f>
        <v>11.442468968312252</v>
      </c>
      <c r="J35" s="65">
        <f>I35-H33</f>
        <v>-0.20411737706927369</v>
      </c>
      <c r="K35" s="33"/>
      <c r="L35" s="33"/>
      <c r="M35" s="33"/>
    </row>
    <row r="36" spans="1:13" hidden="1" x14ac:dyDescent="0.25">
      <c r="A36" s="46"/>
      <c r="B36" s="46"/>
      <c r="C36" s="33"/>
      <c r="D36" s="33"/>
      <c r="E36" s="33"/>
      <c r="F36" s="33"/>
      <c r="G36" s="33"/>
      <c r="H36" s="33"/>
      <c r="I36" s="33">
        <v>4</v>
      </c>
      <c r="J36" s="33">
        <v>8</v>
      </c>
      <c r="K36" s="33">
        <v>2</v>
      </c>
      <c r="L36" s="33">
        <v>3</v>
      </c>
      <c r="M36" s="33"/>
    </row>
    <row r="37" spans="1:13" hidden="1" x14ac:dyDescent="0.25">
      <c r="A37" s="46"/>
      <c r="B37" s="46"/>
      <c r="C37" s="33"/>
      <c r="D37" s="33"/>
      <c r="E37" s="33"/>
      <c r="F37" s="33"/>
      <c r="G37" s="33"/>
      <c r="H37" s="33" t="s">
        <v>276</v>
      </c>
      <c r="I37" s="65">
        <f>SQRT(((I39)^2)-((I38)^2))</f>
        <v>11.42718134538992</v>
      </c>
      <c r="J37" s="65">
        <f>SQRT(((J39)^2)-((J38)^2))</f>
        <v>11.592124417052613</v>
      </c>
      <c r="K37" s="65">
        <f>SQRT(((K39)^2)-((K38)^2))</f>
        <v>10.742112152664735</v>
      </c>
      <c r="L37" s="65">
        <f>SQRT(((L39)^2)-((L38)^2))</f>
        <v>11.25357603166333</v>
      </c>
      <c r="M37" s="33"/>
    </row>
    <row r="38" spans="1:13" hidden="1" x14ac:dyDescent="0.25">
      <c r="A38" s="33"/>
      <c r="B38" s="46"/>
      <c r="C38" s="33"/>
      <c r="D38" s="33"/>
      <c r="E38" s="33"/>
      <c r="F38" s="33"/>
      <c r="G38" s="33"/>
      <c r="H38" s="33" t="s">
        <v>271</v>
      </c>
      <c r="I38" s="65">
        <f>cent_dist/4</f>
        <v>2.25</v>
      </c>
      <c r="J38" s="65">
        <f>cent_dist/8</f>
        <v>1.125</v>
      </c>
      <c r="K38" s="65">
        <f>cent_dist/2</f>
        <v>4.5</v>
      </c>
      <c r="L38" s="65">
        <f>cent_dist/3</f>
        <v>3</v>
      </c>
      <c r="M38" s="33"/>
    </row>
    <row r="39" spans="1:13" hidden="1" x14ac:dyDescent="0.25">
      <c r="A39" s="33"/>
      <c r="B39" s="46"/>
      <c r="C39" s="33"/>
      <c r="D39" s="33"/>
      <c r="E39" s="33"/>
      <c r="F39" s="33"/>
      <c r="G39" s="33"/>
      <c r="H39" s="33" t="s">
        <v>325</v>
      </c>
      <c r="I39" s="65">
        <f>H33</f>
        <v>11.646586345381525</v>
      </c>
      <c r="J39" s="65">
        <f>H33</f>
        <v>11.646586345381525</v>
      </c>
      <c r="K39" s="65">
        <f>H33</f>
        <v>11.646586345381525</v>
      </c>
      <c r="L39" s="65">
        <f>H33</f>
        <v>11.646586345381525</v>
      </c>
      <c r="M39" s="33"/>
    </row>
    <row r="40" spans="1:13" hidden="1" x14ac:dyDescent="0.25">
      <c r="A40" s="33"/>
      <c r="B40" s="46"/>
      <c r="C40" s="33"/>
      <c r="D40" s="33"/>
      <c r="E40" s="33"/>
      <c r="F40" s="33"/>
      <c r="G40" s="33"/>
      <c r="H40" s="33" t="s">
        <v>324</v>
      </c>
      <c r="I40" s="65">
        <f>(I39-I37) *2</f>
        <v>0.43880999998321002</v>
      </c>
      <c r="J40" s="65">
        <f>(J39-J37) *4</f>
        <v>0.21784771331564912</v>
      </c>
      <c r="K40" s="65">
        <f>(K39-K37) *1</f>
        <v>0.90447419271679053</v>
      </c>
      <c r="L40" s="65">
        <f>(L39-L37) *1.3</f>
        <v>0.51091340783365335</v>
      </c>
      <c r="M40" s="33"/>
    </row>
    <row r="41" spans="1:13" hidden="1" x14ac:dyDescent="0.25">
      <c r="A41" s="33"/>
      <c r="B41" s="46"/>
      <c r="C41" s="33"/>
      <c r="D41" s="33"/>
      <c r="E41" s="33"/>
      <c r="F41" s="33"/>
      <c r="G41" s="33"/>
      <c r="H41" s="33" t="s">
        <v>263</v>
      </c>
      <c r="I41" s="65">
        <f>thk-I40</f>
        <v>-0.37880999998321002</v>
      </c>
      <c r="J41" s="65">
        <f>thk-J40</f>
        <v>-0.15784771331564912</v>
      </c>
      <c r="K41" s="65">
        <f>thk-K40</f>
        <v>-0.84447419271679047</v>
      </c>
      <c r="L41" s="65">
        <f>thk-L40</f>
        <v>-0.45091340783365336</v>
      </c>
      <c r="M41" s="33"/>
    </row>
    <row r="42" spans="1:13" hidden="1" x14ac:dyDescent="0.25">
      <c r="A42" s="33"/>
      <c r="B42" s="46"/>
      <c r="C42" s="33"/>
      <c r="D42" s="33"/>
      <c r="E42" s="33"/>
      <c r="F42" s="33"/>
      <c r="G42" s="33"/>
      <c r="H42" s="66">
        <f>E19</f>
        <v>12.373295994793651</v>
      </c>
      <c r="I42" s="65">
        <f>H42-(SQRT(((H42+(thk/4))^2)-((cent_dist/4)^2)))</f>
        <v>0.19103932147485025</v>
      </c>
      <c r="J42" s="65">
        <f>ABS(I42)*-2</f>
        <v>-0.38207864294970051</v>
      </c>
      <c r="K42" s="33"/>
      <c r="L42" s="33"/>
      <c r="M42" s="33"/>
    </row>
    <row r="43" spans="1:13" hidden="1" x14ac:dyDescent="0.25">
      <c r="A43" s="33"/>
      <c r="B43" s="46"/>
      <c r="C43" s="33"/>
      <c r="D43" s="33"/>
      <c r="E43" s="33"/>
      <c r="F43" s="33"/>
      <c r="G43" s="33"/>
      <c r="H43" s="33"/>
      <c r="I43" s="33"/>
      <c r="J43" s="65">
        <f>E18/J42</f>
        <v>1.1801586300467863</v>
      </c>
      <c r="K43" s="33"/>
      <c r="L43" s="33"/>
      <c r="M43" s="33"/>
    </row>
    <row r="44" spans="1:13" hidden="1" x14ac:dyDescent="0.25">
      <c r="A44" s="33"/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 t="s">
        <v>323</v>
      </c>
      <c r="M44" s="33"/>
    </row>
    <row r="45" spans="1:13" hidden="1" x14ac:dyDescent="0.25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 t="s">
        <v>322</v>
      </c>
      <c r="M45" s="33"/>
    </row>
    <row r="46" spans="1:13" hidden="1" x14ac:dyDescent="0.25">
      <c r="A46" s="33"/>
      <c r="B46" s="46"/>
      <c r="C46" s="33"/>
      <c r="D46" s="33"/>
      <c r="E46" s="33"/>
      <c r="F46" s="33"/>
      <c r="G46" s="33"/>
      <c r="H46" s="33"/>
      <c r="I46" s="33"/>
      <c r="J46" s="33"/>
      <c r="K46" s="33"/>
      <c r="L46" s="33" t="s">
        <v>321</v>
      </c>
      <c r="M46" s="33"/>
    </row>
    <row r="47" spans="1:13" hidden="1" x14ac:dyDescent="0.25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 t="s">
        <v>320</v>
      </c>
      <c r="M47" s="33"/>
    </row>
    <row r="48" spans="1:13" hidden="1" x14ac:dyDescent="0.25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 t="s">
        <v>319</v>
      </c>
      <c r="M48" s="33"/>
    </row>
    <row r="49" spans="1:7" hidden="1" x14ac:dyDescent="0.25">
      <c r="A49" s="33"/>
      <c r="B49" s="33"/>
      <c r="C49" s="33"/>
      <c r="D49" s="33"/>
      <c r="E49" s="33"/>
      <c r="F49" s="33"/>
      <c r="G49" s="33"/>
    </row>
    <row r="50" spans="1:7" x14ac:dyDescent="0.25">
      <c r="A50" s="33"/>
      <c r="B50" s="33"/>
      <c r="C50" s="33"/>
      <c r="D50" s="33"/>
      <c r="E50" s="33"/>
      <c r="F50" s="33"/>
      <c r="G50" s="33"/>
    </row>
    <row r="51" spans="1:7" x14ac:dyDescent="0.25">
      <c r="A51" s="33"/>
      <c r="B51" s="33"/>
      <c r="C51" s="33"/>
      <c r="D51" s="33"/>
      <c r="E51" s="33"/>
      <c r="F51" s="33"/>
      <c r="G51" s="33"/>
    </row>
    <row r="52" spans="1:7" x14ac:dyDescent="0.25">
      <c r="A52" s="33"/>
      <c r="B52" s="33"/>
      <c r="C52" s="33"/>
      <c r="D52" s="33"/>
      <c r="E52" s="33"/>
      <c r="F52" s="33"/>
      <c r="G52" s="33"/>
    </row>
    <row r="53" spans="1:7" x14ac:dyDescent="0.25">
      <c r="A53" s="33"/>
      <c r="B53" s="33"/>
      <c r="C53" s="33"/>
      <c r="D53" s="33"/>
      <c r="E53" s="33"/>
      <c r="F53" s="33"/>
      <c r="G53" s="33"/>
    </row>
    <row r="54" spans="1:7" x14ac:dyDescent="0.25">
      <c r="A54" s="33"/>
      <c r="B54" s="33"/>
      <c r="C54" s="33"/>
      <c r="D54" s="33"/>
      <c r="E54" s="33"/>
      <c r="F54" s="33"/>
      <c r="G54" s="33"/>
    </row>
    <row r="55" spans="1:7" x14ac:dyDescent="0.25">
      <c r="A55" s="33"/>
      <c r="B55" s="33"/>
      <c r="C55" s="33"/>
      <c r="D55" s="33"/>
      <c r="E55" s="33"/>
      <c r="F55" s="33"/>
      <c r="G55" s="33"/>
    </row>
    <row r="56" spans="1:7" x14ac:dyDescent="0.25">
      <c r="A56" s="33"/>
      <c r="B56" s="33"/>
      <c r="C56" s="33"/>
      <c r="D56" s="33"/>
      <c r="E56" s="33"/>
      <c r="F56" s="33"/>
      <c r="G56" s="33"/>
    </row>
    <row r="57" spans="1:7" x14ac:dyDescent="0.25">
      <c r="A57" s="35"/>
      <c r="B57" s="36"/>
      <c r="C57" s="36"/>
      <c r="D57" s="33"/>
      <c r="E57" s="36"/>
      <c r="F57" s="36"/>
      <c r="G57" s="33"/>
    </row>
    <row r="58" spans="1:7" x14ac:dyDescent="0.25">
      <c r="A58" s="35"/>
      <c r="B58" s="36"/>
      <c r="C58" s="36"/>
      <c r="D58" s="33"/>
      <c r="E58" s="36"/>
      <c r="F58" s="36"/>
      <c r="G58" s="36"/>
    </row>
    <row r="59" spans="1:7" x14ac:dyDescent="0.25">
      <c r="A59" s="35"/>
      <c r="B59" s="36"/>
      <c r="C59" s="36"/>
      <c r="D59" s="33"/>
      <c r="E59" s="36"/>
      <c r="F59" s="36"/>
      <c r="G59" s="36"/>
    </row>
    <row r="60" spans="1:7" x14ac:dyDescent="0.25">
      <c r="A60" s="35"/>
      <c r="B60" s="36"/>
      <c r="C60" s="36"/>
      <c r="D60" s="33"/>
      <c r="E60" s="36"/>
      <c r="F60" s="36"/>
      <c r="G60" s="36"/>
    </row>
    <row r="61" spans="1:7" x14ac:dyDescent="0.25">
      <c r="A61" s="35"/>
      <c r="B61" s="36"/>
      <c r="C61" s="36"/>
      <c r="D61" s="33"/>
      <c r="E61" s="36"/>
      <c r="F61" s="36"/>
      <c r="G61" s="36"/>
    </row>
    <row r="62" spans="1:7" x14ac:dyDescent="0.25">
      <c r="A62" s="35"/>
      <c r="B62" s="36"/>
      <c r="C62" s="36"/>
      <c r="D62" s="33"/>
      <c r="E62" s="36"/>
      <c r="F62" s="36"/>
      <c r="G62" s="36"/>
    </row>
    <row r="63" spans="1:7" x14ac:dyDescent="0.25">
      <c r="A63" s="35"/>
      <c r="B63" s="36"/>
      <c r="C63" s="36"/>
      <c r="D63" s="33"/>
      <c r="E63" s="36"/>
      <c r="F63" s="36"/>
      <c r="G63" s="36"/>
    </row>
    <row r="64" spans="1:7" x14ac:dyDescent="0.25">
      <c r="A64" s="35"/>
      <c r="B64" s="36"/>
      <c r="C64" s="36"/>
      <c r="D64" s="33"/>
      <c r="E64" s="36"/>
      <c r="F64" s="33"/>
      <c r="G64" s="33"/>
    </row>
    <row r="65" spans="1:7" x14ac:dyDescent="0.25">
      <c r="A65" s="35"/>
      <c r="B65" s="36"/>
      <c r="C65" s="36"/>
      <c r="D65" s="33"/>
      <c r="E65" s="36"/>
      <c r="F65" s="36"/>
      <c r="G65" s="36"/>
    </row>
    <row r="66" spans="1:7" x14ac:dyDescent="0.25">
      <c r="A66" s="33"/>
      <c r="B66" s="33"/>
      <c r="C66" s="33"/>
      <c r="D66" s="33"/>
      <c r="E66" s="33"/>
      <c r="F66" s="33"/>
      <c r="G66" s="33"/>
    </row>
    <row r="67" spans="1:7" x14ac:dyDescent="0.25">
      <c r="A67" s="33"/>
      <c r="B67" s="33"/>
      <c r="C67" s="33"/>
      <c r="D67" s="33"/>
      <c r="E67" s="33"/>
      <c r="F67" s="33"/>
      <c r="G67" s="33"/>
    </row>
    <row r="68" spans="1:7" x14ac:dyDescent="0.25">
      <c r="A68" s="33"/>
      <c r="B68" s="33"/>
      <c r="C68" s="33"/>
      <c r="D68" s="33"/>
      <c r="E68" s="33"/>
      <c r="F68" s="33"/>
      <c r="G68" s="33"/>
    </row>
    <row r="69" spans="1:7" x14ac:dyDescent="0.25">
      <c r="A69" s="33"/>
      <c r="B69" s="33"/>
      <c r="C69" s="33"/>
      <c r="D69" s="33"/>
      <c r="E69" s="33"/>
      <c r="F69" s="33"/>
      <c r="G69" s="33"/>
    </row>
    <row r="70" spans="1:7" x14ac:dyDescent="0.25">
      <c r="A70" s="33"/>
      <c r="B70" s="33"/>
      <c r="C70" s="33"/>
      <c r="D70" s="33"/>
      <c r="E70" s="33"/>
      <c r="F70" s="33"/>
      <c r="G70" s="33"/>
    </row>
    <row r="71" spans="1:7" x14ac:dyDescent="0.25">
      <c r="A71" s="33"/>
      <c r="B71" s="33"/>
      <c r="C71" s="33"/>
      <c r="D71" s="33"/>
      <c r="E71" s="33"/>
      <c r="F71" s="33"/>
      <c r="G71" s="33"/>
    </row>
    <row r="72" spans="1:7" x14ac:dyDescent="0.25">
      <c r="A72" s="33"/>
      <c r="B72" s="33"/>
      <c r="C72" s="33"/>
      <c r="D72" s="33"/>
      <c r="E72" s="33"/>
      <c r="F72" s="33"/>
      <c r="G72" s="33"/>
    </row>
    <row r="73" spans="1:7" x14ac:dyDescent="0.25">
      <c r="A73" s="33"/>
      <c r="B73" s="33"/>
      <c r="C73" s="33"/>
      <c r="D73" s="33"/>
      <c r="E73" s="33"/>
      <c r="F73" s="33"/>
      <c r="G73" s="33"/>
    </row>
    <row r="74" spans="1:7" x14ac:dyDescent="0.25">
      <c r="A74" s="33"/>
      <c r="B74" s="33"/>
      <c r="C74" s="33"/>
      <c r="D74" s="33"/>
      <c r="E74" s="33"/>
      <c r="F74" s="33"/>
      <c r="G74" s="33"/>
    </row>
    <row r="75" spans="1:7" x14ac:dyDescent="0.25">
      <c r="A75" s="35"/>
      <c r="B75" s="36"/>
      <c r="C75" s="36"/>
      <c r="D75" s="33"/>
      <c r="E75" s="36"/>
      <c r="F75" s="36"/>
      <c r="G75" s="36"/>
    </row>
    <row r="76" spans="1:7" x14ac:dyDescent="0.25">
      <c r="A76" s="35"/>
      <c r="B76" s="36"/>
      <c r="C76" s="36"/>
      <c r="D76" s="33"/>
      <c r="E76" s="36"/>
      <c r="F76" s="36"/>
      <c r="G76" s="36"/>
    </row>
    <row r="77" spans="1:7" x14ac:dyDescent="0.25">
      <c r="A77" s="35"/>
      <c r="B77" s="36"/>
      <c r="C77" s="36"/>
      <c r="D77" s="33"/>
      <c r="E77" s="36"/>
      <c r="F77" s="36"/>
      <c r="G77" s="36"/>
    </row>
    <row r="78" spans="1:7" x14ac:dyDescent="0.25">
      <c r="A78" s="35"/>
      <c r="B78" s="36"/>
      <c r="C78" s="36"/>
      <c r="D78" s="33"/>
      <c r="E78" s="36"/>
      <c r="F78" s="36"/>
      <c r="G78" s="36"/>
    </row>
    <row r="79" spans="1:7" x14ac:dyDescent="0.25">
      <c r="A79" s="35"/>
      <c r="B79" s="36"/>
      <c r="C79" s="36"/>
      <c r="D79" s="33"/>
      <c r="E79" s="36"/>
      <c r="F79" s="36"/>
      <c r="G79" s="36"/>
    </row>
    <row r="80" spans="1:7" x14ac:dyDescent="0.25">
      <c r="A80" s="35"/>
      <c r="B80" s="36"/>
      <c r="C80" s="36"/>
      <c r="D80" s="33"/>
      <c r="E80" s="36"/>
      <c r="F80" s="36"/>
      <c r="G80" s="36"/>
    </row>
  </sheetData>
  <sheetProtection algorithmName="SHA-512" hashValue="6gzLVNr12gBgfttu8ge4gFEW6SX8XDmx2q0JbjKxrrJr+DQxBouHqKJU6gbwzKpdYb7Uh6mawhkAReCsrFIDEA==" saltValue="Xjm2n6Kh+y8XOEb/xASzAg==" spinCount="100000" sheet="1" objects="1" scenarios="1"/>
  <mergeCells count="5">
    <mergeCell ref="C1:F1"/>
    <mergeCell ref="C2:F2"/>
    <mergeCell ref="B4:E4"/>
    <mergeCell ref="B5:E5"/>
    <mergeCell ref="B6:E6"/>
  </mergeCells>
  <conditionalFormatting sqref="E18 M18 G18:I18 K18">
    <cfRule type="cellIs" dxfId="44" priority="4" stopIfTrue="1" operator="notBetween">
      <formula>$B$23</formula>
      <formula>1.25*thk</formula>
    </cfRule>
  </conditionalFormatting>
  <conditionalFormatting sqref="E24 M24 G24 I24 K24">
    <cfRule type="cellIs" dxfId="43" priority="5" stopIfTrue="1" operator="greaterThan">
      <formula>$B$21</formula>
    </cfRule>
  </conditionalFormatting>
  <conditionalFormatting sqref="E14 M14 G14:I14 K14">
    <cfRule type="cellIs" dxfId="42" priority="6" stopIfTrue="1" operator="equal">
      <formula>"ROLLER TOO HIGH!"</formula>
    </cfRule>
  </conditionalFormatting>
  <conditionalFormatting sqref="N24">
    <cfRule type="cellIs" dxfId="41" priority="7" stopIfTrue="1" operator="equal">
      <formula>"NOT ENOUGH FORCE!"</formula>
    </cfRule>
  </conditionalFormatting>
  <conditionalFormatting sqref="C25">
    <cfRule type="cellIs" dxfId="40" priority="8" stopIfTrue="1" operator="equal">
      <formula>"WILL NOT STRAIGHTEN"</formula>
    </cfRule>
    <cfRule type="cellIs" dxfId="39" priority="9" stopIfTrue="1" operator="equal">
      <formula>"OK"</formula>
    </cfRule>
  </conditionalFormatting>
  <conditionalFormatting sqref="C26">
    <cfRule type="cellIs" dxfId="38" priority="10" stopIfTrue="1" operator="equal">
      <formula>"NOT ENOUGH FORCE"</formula>
    </cfRule>
    <cfRule type="cellIs" dxfId="37" priority="11" stopIfTrue="1" operator="equal">
      <formula>"OK"</formula>
    </cfRule>
  </conditionalFormatting>
  <conditionalFormatting sqref="E26">
    <cfRule type="cellIs" dxfId="36" priority="1" operator="between">
      <formula>47%</formula>
      <formula>70%</formula>
    </cfRule>
    <cfRule type="cellIs" dxfId="35" priority="2" operator="greaterThan">
      <formula>70%</formula>
    </cfRule>
    <cfRule type="cellIs" dxfId="34" priority="3" operator="lessThan">
      <formula>47%</formula>
    </cfRule>
  </conditionalFormatting>
  <dataValidations count="1">
    <dataValidation errorTitle="Roller Depth too great" error="You have engaged the rollers too far." sqref="M18 K18 G18:I18 E18" xr:uid="{B360F7A3-20FD-4D2C-95FE-DBDC8F6E163B}"/>
  </dataValidations>
  <pageMargins left="0.75" right="0.75" top="1" bottom="1" header="0.5" footer="0.5"/>
  <pageSetup scale="60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32450" r:id="rId4" name="CommandButton1">
          <controlPr locked="0" defaultSize="0" autoLine="0" r:id="rId5">
            <anchor moveWithCells="1" sizeWithCells="1">
              <from>
                <xdr:col>3</xdr:col>
                <xdr:colOff>0</xdr:colOff>
                <xdr:row>14</xdr:row>
                <xdr:rowOff>19050</xdr:rowOff>
              </from>
              <to>
                <xdr:col>4</xdr:col>
                <xdr:colOff>0</xdr:colOff>
                <xdr:row>15</xdr:row>
                <xdr:rowOff>180975</xdr:rowOff>
              </to>
            </anchor>
          </controlPr>
        </control>
      </mc:Choice>
      <mc:Fallback>
        <control shapeId="232450" r:id="rId4" name="CommandButton1"/>
      </mc:Fallback>
    </mc:AlternateContent>
    <mc:AlternateContent xmlns:mc="http://schemas.openxmlformats.org/markup-compatibility/2006">
      <mc:Choice Requires="x14">
        <control shapeId="232449" r:id="rId6" name="Spinner 1">
          <controlPr locked="0" defaultSize="0" autoPict="0">
            <anchor moveWithCells="1" sizeWithCells="1">
              <from>
                <xdr:col>4</xdr:col>
                <xdr:colOff>9525</xdr:colOff>
                <xdr:row>14</xdr:row>
                <xdr:rowOff>19050</xdr:rowOff>
              </from>
              <to>
                <xdr:col>5</xdr:col>
                <xdr:colOff>0</xdr:colOff>
                <xdr:row>15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2451" r:id="rId7" name="Button 3">
          <controlPr defaultSize="0" print="0" autoFill="0" autoPict="0" macro="[0]!Tbl_Contents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190500</xdr:colOff>
                <xdr:row>1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2458" r:id="rId8" name="Check Box 10">
          <controlPr defaultSize="0" autoFill="0" autoLine="0" autoPict="0" altText="Confirmed">
            <anchor moveWithCells="1">
              <from>
                <xdr:col>1</xdr:col>
                <xdr:colOff>104775</xdr:colOff>
                <xdr:row>27</xdr:row>
                <xdr:rowOff>133350</xdr:rowOff>
              </from>
              <to>
                <xdr:col>1</xdr:col>
                <xdr:colOff>847725</xdr:colOff>
                <xdr:row>27</xdr:row>
                <xdr:rowOff>447675</xdr:rowOff>
              </to>
            </anchor>
          </controlPr>
        </control>
      </mc:Choice>
    </mc:AlternateContent>
  </control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0CC4D-EAFB-47B1-A920-F15790DE5C9B}">
  <sheetPr codeName="Sheet14">
    <tabColor theme="1"/>
    <pageSetUpPr fitToPage="1"/>
  </sheetPr>
  <dimension ref="A1:X126"/>
  <sheetViews>
    <sheetView zoomScale="80" zoomScaleNormal="80" workbookViewId="0">
      <selection activeCell="B9" sqref="B9:C9"/>
    </sheetView>
  </sheetViews>
  <sheetFormatPr defaultRowHeight="15" x14ac:dyDescent="0.25"/>
  <cols>
    <col min="1" max="1" width="15.42578125" customWidth="1"/>
    <col min="2" max="2" width="10.28515625" bestFit="1" customWidth="1"/>
    <col min="3" max="3" width="9" customWidth="1"/>
    <col min="4" max="4" width="21.28515625" customWidth="1"/>
    <col min="5" max="5" width="7.85546875" customWidth="1"/>
    <col min="6" max="6" width="12.28515625" customWidth="1"/>
    <col min="7" max="7" width="13.85546875" customWidth="1"/>
    <col min="8" max="8" width="7.28515625" customWidth="1"/>
    <col min="9" max="9" width="9.5703125" style="201" customWidth="1"/>
    <col min="12" max="12" width="12.7109375" customWidth="1"/>
    <col min="13" max="14" width="12.7109375" hidden="1" customWidth="1"/>
    <col min="15" max="15" width="20.7109375" customWidth="1"/>
    <col min="16" max="16" width="16.28515625" customWidth="1"/>
    <col min="17" max="17" width="12.7109375" hidden="1" customWidth="1"/>
    <col min="18" max="18" width="20.7109375" customWidth="1"/>
    <col min="19" max="19" width="14.42578125" customWidth="1"/>
    <col min="20" max="20" width="12.7109375" hidden="1" customWidth="1"/>
  </cols>
  <sheetData>
    <row r="1" spans="1:20" ht="21.75" thickBot="1" x14ac:dyDescent="0.4">
      <c r="E1" s="200" t="s">
        <v>0</v>
      </c>
      <c r="J1" s="525" t="str">
        <f ca="1">IF(AND(MPEAK&gt;PEAKTQ,MRMS&gt;RMSTQ,MRMS&gt;RMSTQ_2,ACCTQ&lt;MPEAK,width&gt;=MatWidth),"OK","")</f>
        <v>OK</v>
      </c>
      <c r="L1" s="2"/>
      <c r="M1" s="1005" t="s">
        <v>432</v>
      </c>
      <c r="N1" s="1006"/>
      <c r="O1" s="2"/>
      <c r="P1" s="2"/>
      <c r="Q1" s="202"/>
      <c r="R1" s="2"/>
      <c r="S1" s="2"/>
      <c r="T1" s="202"/>
    </row>
    <row r="2" spans="1:20" ht="17.45" customHeight="1" x14ac:dyDescent="0.25">
      <c r="E2" s="64" t="s">
        <v>433</v>
      </c>
      <c r="L2" s="457" t="s">
        <v>256</v>
      </c>
      <c r="M2" s="203" t="s">
        <v>434</v>
      </c>
      <c r="N2" s="203" t="s">
        <v>435</v>
      </c>
      <c r="O2" s="203" t="str">
        <f>IF(application="Cut to Length", "Blanks/Min (" &amp; $E$19 &amp; " " &amp; $F$19 &amp; ")","SPM @ " &amp; $E$19 &amp; " " &amp; $F$19)</f>
        <v>SPM @ 180 Deg.</v>
      </c>
      <c r="P2" s="203" t="s">
        <v>1112</v>
      </c>
      <c r="Q2" s="203" t="s">
        <v>436</v>
      </c>
      <c r="R2" s="203" t="str">
        <f>IF(application="Cut to Length", "Blanks/Min (" &amp; $E$20 &amp; " " &amp; $F$20 &amp; ")","SPM @ " &amp; $E$20 &amp; " " &amp; $F$20)</f>
        <v>SPM @ 240 Deg.</v>
      </c>
      <c r="S2" s="204" t="s">
        <v>1112</v>
      </c>
      <c r="T2" s="617" t="s">
        <v>437</v>
      </c>
    </row>
    <row r="3" spans="1:20" ht="17.45" customHeight="1" x14ac:dyDescent="0.25">
      <c r="E3" s="64"/>
      <c r="L3" s="613">
        <f ca="1">INDIRECT("'" &amp; $A$101 &amp; "'!B3")</f>
        <v>10.659385939829363</v>
      </c>
      <c r="M3" s="53">
        <f ca="1">INDIRECT("'" &amp; $A$101 &amp; "'!B4")</f>
        <v>411.66289519083347</v>
      </c>
      <c r="N3" s="53">
        <f ca="1">INDIRECT("'" &amp; $A$101 &amp; "'!L4")</f>
        <v>473.77936174820201</v>
      </c>
      <c r="O3" s="53">
        <f ca="1">INDIRECT("'" &amp; $A$101 &amp; "'!B10")</f>
        <v>72.816437402870378</v>
      </c>
      <c r="P3" s="53">
        <f ca="1">($L3*$O3)/12</f>
        <v>64.681542420051784</v>
      </c>
      <c r="Q3" s="55">
        <f ca="1">INDIRECT("'" &amp; $A$101 &amp; "'!B8")</f>
        <v>0.41199488837965892</v>
      </c>
      <c r="R3" s="53">
        <f ca="1">INDIRECT("'" &amp; $A$101 &amp; "'!L10")</f>
        <v>97.08858320382717</v>
      </c>
      <c r="S3" s="619">
        <f ca="1">($L3*$R3)/12</f>
        <v>86.242056560069045</v>
      </c>
      <c r="T3" s="580">
        <f ca="1">INDIRECT("'" &amp; $A$101 &amp; "'!L8")</f>
        <v>0.41199488837965892</v>
      </c>
    </row>
    <row r="4" spans="1:20" ht="17.45" customHeight="1" x14ac:dyDescent="0.25">
      <c r="A4" s="207" t="s">
        <v>1</v>
      </c>
      <c r="B4" s="1004" t="str">
        <f>Customer</f>
        <v>ULTRATECH TOOL&amp; DESIGN, INC.</v>
      </c>
      <c r="C4" s="940"/>
      <c r="D4" s="941"/>
      <c r="E4" s="64"/>
      <c r="L4" s="613">
        <f ca="1">INDIRECT("'" &amp; $A$101 &amp; "'!C3")</f>
        <v>4</v>
      </c>
      <c r="M4" s="53">
        <f ca="1">INDIRECT("'" &amp; $A$101 &amp; "'!C4")</f>
        <v>401.25205940045947</v>
      </c>
      <c r="N4" s="53">
        <f ca="1">INDIRECT("'" &amp; $A$101 &amp; "'!M4")</f>
        <v>461.7171408414622</v>
      </c>
      <c r="O4" s="53">
        <f ca="1">INDIRECT("'" &amp; $A$101 &amp; "'!C10")</f>
        <v>112</v>
      </c>
      <c r="P4" s="53">
        <f t="shared" ref="P4:P26" ca="1" si="0">($L4*$O4)/12</f>
        <v>37.333333333333336</v>
      </c>
      <c r="Q4" s="55">
        <f ca="1">INDIRECT("'" &amp; $A$101 &amp; "'!C8")</f>
        <v>0.2659401076758503</v>
      </c>
      <c r="R4" s="53">
        <f ca="1">INDIRECT("'" &amp; $A$101 &amp; "'!M10")</f>
        <v>150</v>
      </c>
      <c r="S4" s="619">
        <f t="shared" ref="S4:S26" ca="1" si="1">($L4*$R4)/12</f>
        <v>50</v>
      </c>
      <c r="T4" s="580">
        <f ca="1">INDIRECT("'" &amp; $A$101 &amp; "'!M8")</f>
        <v>0.2659401076758503</v>
      </c>
    </row>
    <row r="5" spans="1:20" ht="17.45" customHeight="1" x14ac:dyDescent="0.25">
      <c r="A5" s="207" t="s">
        <v>2</v>
      </c>
      <c r="B5" s="939">
        <f>CalcDate</f>
        <v>0</v>
      </c>
      <c r="C5" s="940"/>
      <c r="D5" s="941"/>
      <c r="L5" s="613">
        <f ca="1">INDIRECT("'" &amp; $A$101 &amp; "'!D3")</f>
        <v>8</v>
      </c>
      <c r="M5" s="53">
        <f ca="1">INDIRECT("'" &amp; $A$101 &amp; "'!D4")</f>
        <v>409.04603144934867</v>
      </c>
      <c r="N5" s="53">
        <f ca="1">INDIRECT("'" &amp; $A$101 &amp; "'!N4")</f>
        <v>470.74760297702727</v>
      </c>
      <c r="O5" s="53">
        <f ca="1">INDIRECT("'" &amp; $A$101 &amp; "'!D10")</f>
        <v>82</v>
      </c>
      <c r="P5" s="53">
        <f t="shared" ca="1" si="0"/>
        <v>54.666666666666664</v>
      </c>
      <c r="Q5" s="55">
        <f ca="1">INDIRECT("'" &amp; $A$101 &amp; "'!D8")</f>
        <v>0.36159863237109036</v>
      </c>
      <c r="R5" s="53">
        <f ca="1">INDIRECT("'" &amp; $A$101 &amp; "'!N10")</f>
        <v>110</v>
      </c>
      <c r="S5" s="619">
        <f t="shared" ca="1" si="1"/>
        <v>73.333333333333329</v>
      </c>
      <c r="T5" s="580">
        <f ca="1">INDIRECT("'" &amp; $A$101 &amp; "'!N8")</f>
        <v>0.36159863237109036</v>
      </c>
    </row>
    <row r="6" spans="1:20" ht="17.45" customHeight="1" x14ac:dyDescent="0.25">
      <c r="A6" s="207" t="s">
        <v>131</v>
      </c>
      <c r="B6" s="1004">
        <f>Reference</f>
        <v>0</v>
      </c>
      <c r="C6" s="940"/>
      <c r="D6" s="941"/>
      <c r="L6" s="613">
        <f ca="1">INDIRECT("'" &amp; $A$101 &amp; "'!E3")</f>
        <v>12</v>
      </c>
      <c r="M6" s="53">
        <f ca="1">INDIRECT("'" &amp; $A$101 &amp; "'!E4")</f>
        <v>400.72751046361287</v>
      </c>
      <c r="N6" s="53">
        <f ca="1">INDIRECT("'" &amp; $A$101 &amp; "'!O4")</f>
        <v>461.10933060662319</v>
      </c>
      <c r="O6" s="53">
        <f ca="1">INDIRECT("'" &amp; $A$101 &amp; "'!E10")</f>
        <v>68</v>
      </c>
      <c r="P6" s="53">
        <f t="shared" ca="1" si="0"/>
        <v>68</v>
      </c>
      <c r="Q6" s="55">
        <f ca="1">INDIRECT("'" &amp; $A$101 &amp; "'!E8")</f>
        <v>0.43570191291311533</v>
      </c>
      <c r="R6" s="53">
        <f ca="1">INDIRECT("'" &amp; $A$101 &amp; "'!O10")</f>
        <v>91</v>
      </c>
      <c r="S6" s="619">
        <f t="shared" ca="1" si="1"/>
        <v>91</v>
      </c>
      <c r="T6" s="580">
        <f ca="1">INDIRECT("'" &amp; $A$101 &amp; "'!O8")</f>
        <v>0.43570191291311533</v>
      </c>
    </row>
    <row r="7" spans="1:20" ht="17.45" customHeight="1" x14ac:dyDescent="0.25">
      <c r="L7" s="613">
        <f ca="1">INDIRECT("'" &amp; $A$101 &amp; "'!F3")</f>
        <v>16</v>
      </c>
      <c r="M7" s="53">
        <f ca="1">INDIRECT("'" &amp; $A$101 &amp; "'!F4")</f>
        <v>372.85240525505816</v>
      </c>
      <c r="N7" s="53">
        <f ca="1">INDIRECT("'" &amp; $A$101 &amp; "'!P4")</f>
        <v>428.80102540530891</v>
      </c>
      <c r="O7" s="53">
        <f ca="1">INDIRECT("'" &amp; $A$101 &amp; "'!F10")</f>
        <v>59</v>
      </c>
      <c r="P7" s="53">
        <f t="shared" ca="1" si="0"/>
        <v>78.666666666666671</v>
      </c>
      <c r="Q7" s="55">
        <f ca="1">INDIRECT("'" &amp; $A$101 &amp; "'!F8")</f>
        <v>0.50643673582087734</v>
      </c>
      <c r="R7" s="53">
        <f ca="1">INDIRECT("'" &amp; $A$101 &amp; "'!P10")</f>
        <v>78</v>
      </c>
      <c r="S7" s="619">
        <f t="shared" ca="1" si="1"/>
        <v>104</v>
      </c>
      <c r="T7" s="580">
        <f ca="1">INDIRECT("'" &amp; $A$101 &amp; "'!P8")</f>
        <v>0.50643673582087734</v>
      </c>
    </row>
    <row r="8" spans="1:20" ht="17.45" customHeight="1" x14ac:dyDescent="0.25">
      <c r="A8" s="209" t="s">
        <v>438</v>
      </c>
      <c r="B8" s="1007" t="str">
        <f>SelectedApplication</f>
        <v>Press Feed</v>
      </c>
      <c r="C8" s="1008"/>
      <c r="L8" s="613">
        <f ca="1">INDIRECT("'" &amp; $A$101 &amp; "'!G3")</f>
        <v>20</v>
      </c>
      <c r="M8" s="53">
        <f ca="1">INDIRECT("'" &amp; $A$101 &amp; "'!G4")</f>
        <v>350.34371858658898</v>
      </c>
      <c r="N8" s="53">
        <f ca="1">INDIRECT("'" &amp; $A$101 &amp; "'!Q4")</f>
        <v>402.69847212702484</v>
      </c>
      <c r="O8" s="53">
        <f ca="1">INDIRECT("'" &amp; $A$101 &amp; "'!G10")</f>
        <v>51</v>
      </c>
      <c r="P8" s="53">
        <f t="shared" ca="1" si="0"/>
        <v>85</v>
      </c>
      <c r="Q8" s="55">
        <f ca="1">INDIRECT("'" &amp; $A$101 &amp; "'!G8")</f>
        <v>0.57717155872863934</v>
      </c>
      <c r="R8" s="53">
        <f ca="1">INDIRECT("'" &amp; $A$101 &amp; "'!Q10")</f>
        <v>69</v>
      </c>
      <c r="S8" s="619">
        <f t="shared" ca="1" si="1"/>
        <v>115</v>
      </c>
      <c r="T8" s="580">
        <f ca="1">INDIRECT("'" &amp; $A$101 &amp; "'!Q8")</f>
        <v>0.57717155872863934</v>
      </c>
    </row>
    <row r="9" spans="1:20" ht="17.45" customHeight="1" x14ac:dyDescent="0.25">
      <c r="A9" s="18" t="s">
        <v>160</v>
      </c>
      <c r="B9" s="1009" t="s">
        <v>514</v>
      </c>
      <c r="C9" s="1010"/>
      <c r="E9" s="210" t="s">
        <v>441</v>
      </c>
      <c r="F9" s="211" t="str">
        <f>VLOOKUP(model,LookupSigma5Feed,14)</f>
        <v>YASKAWA SGMGV-1EDDA61</v>
      </c>
      <c r="L9" s="613">
        <f ca="1">INDIRECT("'" &amp; $A$101 &amp; "'!H3")</f>
        <v>24</v>
      </c>
      <c r="M9" s="53">
        <f ca="1">INDIRECT("'" &amp; $A$101 &amp; "'!H4")</f>
        <v>331.68788365776408</v>
      </c>
      <c r="N9" s="53">
        <f ca="1">INDIRECT("'" &amp; $A$101 &amp; "'!R4")</f>
        <v>381.05235966092215</v>
      </c>
      <c r="O9" s="53">
        <f ca="1">INDIRECT("'" &amp; $A$101 &amp; "'!H10")</f>
        <v>46</v>
      </c>
      <c r="P9" s="53">
        <f t="shared" ca="1" si="0"/>
        <v>92</v>
      </c>
      <c r="Q9" s="55">
        <f ca="1">INDIRECT("'" &amp; $A$101 &amp; "'!H8")</f>
        <v>0.64790638163640135</v>
      </c>
      <c r="R9" s="53">
        <f ca="1">INDIRECT("'" &amp; $A$101 &amp; "'!R10")</f>
        <v>60</v>
      </c>
      <c r="S9" s="619">
        <f t="shared" ca="1" si="1"/>
        <v>120</v>
      </c>
      <c r="T9" s="580">
        <f ca="1">INDIRECT("'" &amp; $A$101 &amp; "'!R8")</f>
        <v>0.64790638163640135</v>
      </c>
    </row>
    <row r="10" spans="1:20" ht="17.45" customHeight="1" x14ac:dyDescent="0.25">
      <c r="A10" s="18" t="s">
        <v>442</v>
      </c>
      <c r="B10" s="693">
        <v>42</v>
      </c>
      <c r="E10" s="210" t="s">
        <v>443</v>
      </c>
      <c r="F10" s="211" t="str">
        <f>VLOOKUP(model,LookupSigma5Feed,15)</f>
        <v>YASKAWA SGDV-370DE1A000000300</v>
      </c>
      <c r="L10" s="613">
        <f ca="1">INDIRECT("'" &amp; $A$101 &amp; "'!I3")</f>
        <v>28</v>
      </c>
      <c r="M10" s="53">
        <f ca="1">INDIRECT("'" &amp; $A$101 &amp; "'!I4")</f>
        <v>315.90784656770461</v>
      </c>
      <c r="N10" s="13">
        <f ca="1">INDIRECT("'" &amp; $A$101 &amp; "'!S4")</f>
        <v>362.73331059249858</v>
      </c>
      <c r="O10" s="53">
        <f ca="1">INDIRECT("'" &amp; $A$101 &amp; "'!I10")</f>
        <v>41</v>
      </c>
      <c r="P10" s="53">
        <f t="shared" ca="1" si="0"/>
        <v>95.666666666666671</v>
      </c>
      <c r="Q10" s="55">
        <f ca="1">INDIRECT("'" &amp; $A$101 &amp; "'!I8")</f>
        <v>0.71864120454416336</v>
      </c>
      <c r="R10" s="53">
        <f ca="1">INDIRECT("'" &amp; $A$101 &amp; "'!S10")</f>
        <v>51</v>
      </c>
      <c r="S10" s="619">
        <f t="shared" ca="1" si="1"/>
        <v>119</v>
      </c>
      <c r="T10" s="580">
        <f ca="1">INDIRECT("'" &amp; $A$101 &amp; "'!S8")</f>
        <v>0.71864120454416336</v>
      </c>
    </row>
    <row r="11" spans="1:20" ht="17.45" customHeight="1" x14ac:dyDescent="0.25">
      <c r="A11" s="18" t="s">
        <v>444</v>
      </c>
      <c r="B11" s="693" t="s">
        <v>516</v>
      </c>
      <c r="L11" s="613">
        <f ca="1">INDIRECT("'" &amp; $A$101 &amp; "'!B12")</f>
        <v>32</v>
      </c>
      <c r="M11" s="53">
        <f ca="1">INDIRECT("'" &amp; $A$101 &amp; "'!B13")</f>
        <v>302.34106092411474</v>
      </c>
      <c r="N11" s="53">
        <f ca="1">INDIRECT("'" &amp; $A$101 &amp; "'!L13")</f>
        <v>346.97538924774932</v>
      </c>
      <c r="O11" s="53">
        <f ca="1">INDIRECT("'" &amp; $A$101 &amp; "'!B19")</f>
        <v>38</v>
      </c>
      <c r="P11" s="53">
        <f t="shared" ca="1" si="0"/>
        <v>101.33333333333333</v>
      </c>
      <c r="Q11" s="55">
        <f ca="1">INDIRECT("'" &amp; $A$101 &amp; "'!B17")</f>
        <v>0.78937602745192526</v>
      </c>
      <c r="R11" s="53">
        <f ca="1">INDIRECT("'" &amp; $A$101 &amp; "'!L19")</f>
        <v>45</v>
      </c>
      <c r="S11" s="619">
        <f t="shared" ca="1" si="1"/>
        <v>120</v>
      </c>
      <c r="T11" s="580">
        <f ca="1">INDIRECT("'" &amp; $A$101 &amp; "'!L17")</f>
        <v>0.78937602745192526</v>
      </c>
    </row>
    <row r="12" spans="1:20" ht="17.45" customHeight="1" x14ac:dyDescent="0.25">
      <c r="A12" s="18" t="s">
        <v>446</v>
      </c>
      <c r="B12" s="693" t="s">
        <v>445</v>
      </c>
      <c r="D12" s="516" t="s">
        <v>63</v>
      </c>
      <c r="E12" s="915" t="str">
        <f>Material_1</f>
        <v>HS Steel</v>
      </c>
      <c r="F12" s="915"/>
      <c r="L12" s="613">
        <f ca="1">INDIRECT("'" &amp; $A$101 &amp; "'!C12")</f>
        <v>36</v>
      </c>
      <c r="M12" s="53">
        <f ca="1">INDIRECT("'" &amp; $A$101 &amp; "'!C13")</f>
        <v>290.52031586832993</v>
      </c>
      <c r="N12" s="53">
        <f ca="1">INDIRECT("'" &amp; $A$101 &amp; "'!M13")</f>
        <v>333.2384078888773</v>
      </c>
      <c r="O12" s="53">
        <f ca="1">INDIRECT("'" &amp; $A$101 &amp; "'!C19")</f>
        <v>34</v>
      </c>
      <c r="P12" s="53">
        <f t="shared" ca="1" si="0"/>
        <v>102</v>
      </c>
      <c r="Q12" s="55">
        <f ca="1">INDIRECT("'" &amp; $A$101 &amp; "'!C17")</f>
        <v>0.86011085035968726</v>
      </c>
      <c r="R12" s="53">
        <f ca="1">INDIRECT("'" &amp; $A$101 &amp; "'!M19")</f>
        <v>40</v>
      </c>
      <c r="S12" s="619">
        <f t="shared" ca="1" si="1"/>
        <v>120</v>
      </c>
      <c r="T12" s="580">
        <f ca="1">INDIRECT("'" &amp; $A$101 &amp; "'!M17")</f>
        <v>0.86011085035968726</v>
      </c>
    </row>
    <row r="13" spans="1:20" ht="17.45" customHeight="1" x14ac:dyDescent="0.25">
      <c r="L13" s="613">
        <f ca="1">INDIRECT("'" &amp; $A$101 &amp; "'!D12")</f>
        <v>40</v>
      </c>
      <c r="M13" s="53">
        <f ca="1">INDIRECT("'" &amp; $A$101 &amp; "'!D13")</f>
        <v>280.1054695682526</v>
      </c>
      <c r="N13" s="53">
        <f ca="1">INDIRECT("'" &amp; $A$101 &amp; "'!N13")</f>
        <v>321.12904471370467</v>
      </c>
      <c r="O13" s="53">
        <f ca="1">INDIRECT("'" &amp; $A$101 &amp; "'!D19")</f>
        <v>32</v>
      </c>
      <c r="P13" s="53">
        <f t="shared" ca="1" si="0"/>
        <v>106.66666666666667</v>
      </c>
      <c r="Q13" s="55">
        <f ca="1">INDIRECT("'" &amp; $A$101 &amp; "'!D17")</f>
        <v>0.93084567326744916</v>
      </c>
      <c r="R13" s="53">
        <f ca="1">INDIRECT("'" &amp; $A$101 &amp; "'!N19")</f>
        <v>36</v>
      </c>
      <c r="S13" s="619">
        <f t="shared" ca="1" si="1"/>
        <v>120</v>
      </c>
      <c r="T13" s="580">
        <f ca="1">INDIRECT("'" &amp; $A$101 &amp; "'!N17")</f>
        <v>0.93084567326744916</v>
      </c>
    </row>
    <row r="14" spans="1:20" ht="17.45" customHeight="1" x14ac:dyDescent="0.25">
      <c r="A14" s="1003" t="s">
        <v>63</v>
      </c>
      <c r="B14" s="50" t="s">
        <v>447</v>
      </c>
      <c r="C14" s="50" t="s">
        <v>448</v>
      </c>
      <c r="D14" s="50" t="str">
        <f>IF(application="Press Feed","Press Bed Length", IF(application="Cut to Length", "Maximum Blank Length","Ln. FLT"))</f>
        <v>Press Bed Length</v>
      </c>
      <c r="E14" s="50" t="s">
        <v>449</v>
      </c>
      <c r="F14" s="50" t="s">
        <v>450</v>
      </c>
      <c r="G14" s="212"/>
      <c r="L14" s="613">
        <f ca="1">INDIRECT("'" &amp; $A$101 &amp; "'!E12")</f>
        <v>44</v>
      </c>
      <c r="M14" s="53">
        <f ca="1">INDIRECT("'" &amp; $A$101 &amp; "'!E13")</f>
        <v>270.84223965082754</v>
      </c>
      <c r="N14" s="53">
        <f ca="1">INDIRECT("'" &amp; $A$101 &amp; "'!O13")</f>
        <v>310.35322288445769</v>
      </c>
      <c r="O14" s="53">
        <f ca="1">INDIRECT("'" &amp; $A$101 &amp; "'!E19")</f>
        <v>29</v>
      </c>
      <c r="P14" s="53">
        <f t="shared" ca="1" si="0"/>
        <v>106.33333333333333</v>
      </c>
      <c r="Q14" s="55">
        <f ca="1">INDIRECT("'" &amp; $A$101 &amp; "'!E17")</f>
        <v>1.0015804961752111</v>
      </c>
      <c r="R14" s="53">
        <f ca="1">INDIRECT("'" &amp; $A$101 &amp; "'!O19")</f>
        <v>32</v>
      </c>
      <c r="S14" s="619">
        <f t="shared" ca="1" si="1"/>
        <v>117.33333333333333</v>
      </c>
      <c r="T14" s="580">
        <f ca="1">INDIRECT("'" &amp; $A$101 &amp; "'!O17")</f>
        <v>1.0015804961752111</v>
      </c>
    </row>
    <row r="15" spans="1:20" ht="17.45" customHeight="1" x14ac:dyDescent="0.25">
      <c r="A15" s="1003"/>
      <c r="B15" s="582">
        <f>CoilWidth_1</f>
        <v>18</v>
      </c>
      <c r="C15" s="597">
        <f>Thickness_1</f>
        <v>0.25</v>
      </c>
      <c r="D15" s="215">
        <v>48</v>
      </c>
      <c r="E15" s="582">
        <f>VLOOKUP(material,LookupMaterial,4,FALSE)</f>
        <v>0.28299999999999997</v>
      </c>
      <c r="F15" s="217">
        <f>IF(B11="Y", C15*360*PI()*2, C15*360*PI())</f>
        <v>282.74333882308139</v>
      </c>
      <c r="L15" s="613">
        <f ca="1">INDIRECT("'" &amp; $A$101 &amp; "'!F12")</f>
        <v>48</v>
      </c>
      <c r="M15" s="53">
        <f ca="1">INDIRECT("'" &amp; $A$101 &amp; "'!F13")</f>
        <v>262.53622831154235</v>
      </c>
      <c r="N15" s="53">
        <f ca="1">INDIRECT("'" &amp; $A$101 &amp; "'!P13")</f>
        <v>300.68609237996895</v>
      </c>
      <c r="O15" s="53">
        <f ca="1">INDIRECT("'" &amp; $A$101 &amp; "'!F19")</f>
        <v>27</v>
      </c>
      <c r="P15" s="53">
        <f t="shared" ca="1" si="0"/>
        <v>108</v>
      </c>
      <c r="Q15" s="55">
        <f ca="1">INDIRECT("'" &amp; $A$101 &amp; "'!F17")</f>
        <v>1.0723153190829731</v>
      </c>
      <c r="R15" s="53">
        <f ca="1">INDIRECT("'" &amp; $A$101 &amp; "'!P19")</f>
        <v>30</v>
      </c>
      <c r="S15" s="619">
        <f t="shared" ca="1" si="1"/>
        <v>120</v>
      </c>
      <c r="T15" s="580">
        <f ca="1">INDIRECT("'" &amp; $A$101 &amp; "'!P17")</f>
        <v>1.0723153190829731</v>
      </c>
    </row>
    <row r="16" spans="1:20" ht="17.45" customHeight="1" x14ac:dyDescent="0.25">
      <c r="A16" s="218"/>
      <c r="L16" s="613">
        <f ca="1">INDIRECT("'" &amp; $A$101 &amp; "'!G12")</f>
        <v>52</v>
      </c>
      <c r="M16" s="53">
        <f ca="1">INDIRECT("'" &amp; $A$101 &amp; "'!G13")</f>
        <v>255.0359451959537</v>
      </c>
      <c r="N16" s="53">
        <f ca="1">INDIRECT("'" &amp; $A$101 &amp; "'!Q13")</f>
        <v>291.95240885914865</v>
      </c>
      <c r="O16" s="53">
        <f ca="1">INDIRECT("'" &amp; $A$101 &amp; "'!G19")</f>
        <v>26</v>
      </c>
      <c r="P16" s="53">
        <f t="shared" ca="1" si="0"/>
        <v>112.66666666666667</v>
      </c>
      <c r="Q16" s="55">
        <f ca="1">INDIRECT("'" &amp; $A$101 &amp; "'!G17")</f>
        <v>1.1430501419907351</v>
      </c>
      <c r="R16" s="53">
        <f ca="1">INDIRECT("'" &amp; $A$101 &amp; "'!Q19")</f>
        <v>27</v>
      </c>
      <c r="S16" s="619">
        <f t="shared" ca="1" si="1"/>
        <v>117</v>
      </c>
      <c r="T16" s="580">
        <f ca="1">INDIRECT("'" &amp; $A$101 &amp; "'!Q17")</f>
        <v>1.1430501419907351</v>
      </c>
    </row>
    <row r="17" spans="1:20" ht="17.45" customHeight="1" x14ac:dyDescent="0.25">
      <c r="A17" s="219" t="s">
        <v>451</v>
      </c>
      <c r="B17" s="685">
        <f>IF(SelectedStrUsed="Yes", 'Str. Utility (1)'!fpm, $B$24)</f>
        <v>120</v>
      </c>
      <c r="C17" s="212" t="s">
        <v>452</v>
      </c>
      <c r="D17" s="220" t="s">
        <v>453</v>
      </c>
      <c r="E17" s="213">
        <v>4</v>
      </c>
      <c r="F17" s="212" t="s">
        <v>336</v>
      </c>
      <c r="L17" s="613">
        <f ca="1">INDIRECT("'" &amp; $A$101 &amp; "'!H12")</f>
        <v>56</v>
      </c>
      <c r="M17" s="53">
        <f ca="1">INDIRECT("'" &amp; $A$101 &amp; "'!H13")</f>
        <v>248.22136286631158</v>
      </c>
      <c r="N17" s="53">
        <f ca="1">INDIRECT("'" &amp; $A$101 &amp; "'!R13")</f>
        <v>284.01330583902876</v>
      </c>
      <c r="O17" s="53">
        <f ca="1">INDIRECT("'" &amp; $A$101 &amp; "'!H19")</f>
        <v>24</v>
      </c>
      <c r="P17" s="53">
        <f t="shared" ca="1" si="0"/>
        <v>112</v>
      </c>
      <c r="Q17" s="55">
        <f ca="1">INDIRECT("'" &amp; $A$101 &amp; "'!H17")</f>
        <v>1.2137849648984971</v>
      </c>
      <c r="R17" s="53">
        <f ca="1">INDIRECT("'" &amp; $A$101 &amp; "'!R19")</f>
        <v>25</v>
      </c>
      <c r="S17" s="619">
        <f t="shared" ca="1" si="1"/>
        <v>116.66666666666667</v>
      </c>
      <c r="T17" s="580">
        <f ca="1">INDIRECT("'" &amp; $A$101 &amp; "'!R17")</f>
        <v>1.2137849648984971</v>
      </c>
    </row>
    <row r="18" spans="1:20" ht="17.45" customHeight="1" x14ac:dyDescent="0.25">
      <c r="A18" s="220" t="s">
        <v>454</v>
      </c>
      <c r="B18" s="213">
        <v>30</v>
      </c>
      <c r="C18" s="212" t="s">
        <v>40</v>
      </c>
      <c r="D18" s="220" t="s">
        <v>455</v>
      </c>
      <c r="E18" s="213">
        <v>4</v>
      </c>
      <c r="F18" s="212" t="s">
        <v>336</v>
      </c>
      <c r="L18" s="613">
        <f ca="1">INDIRECT("'" &amp; $A$101 &amp; "'!I12")</f>
        <v>60</v>
      </c>
      <c r="M18" s="53">
        <f ca="1">INDIRECT("'" &amp; $A$101 &amp; "'!I13")</f>
        <v>241.99599338096948</v>
      </c>
      <c r="N18" s="53">
        <f ca="1">INDIRECT("'" &amp; $A$101 &amp; "'!S13")</f>
        <v>276.75713601024114</v>
      </c>
      <c r="O18" s="53">
        <f ca="1">INDIRECT("'" &amp; $A$101 &amp; "'!I19")</f>
        <v>23</v>
      </c>
      <c r="P18" s="53">
        <f t="shared" ca="1" si="0"/>
        <v>115</v>
      </c>
      <c r="Q18" s="55">
        <f ca="1">INDIRECT("'" &amp; $A$101 &amp; "'!I17")</f>
        <v>1.2845197878062589</v>
      </c>
      <c r="R18" s="53">
        <f ca="1">INDIRECT("'" &amp; $A$101 &amp; "'!S19")</f>
        <v>24</v>
      </c>
      <c r="S18" s="619">
        <f t="shared" ca="1" si="1"/>
        <v>120</v>
      </c>
      <c r="T18" s="580">
        <f ca="1">INDIRECT("'" &amp; $A$101 &amp; "'!S17")</f>
        <v>1.2845197878062589</v>
      </c>
    </row>
    <row r="19" spans="1:20" ht="17.45" customHeight="1" x14ac:dyDescent="0.25">
      <c r="A19" s="220" t="s">
        <v>456</v>
      </c>
      <c r="B19" s="213">
        <v>25</v>
      </c>
      <c r="C19" s="212" t="s">
        <v>457</v>
      </c>
      <c r="D19" s="458" t="str">
        <f>IF(application="Cut to Length","Shear Cyc Tim 1", "Feed Angle 1")</f>
        <v>Feed Angle 1</v>
      </c>
      <c r="E19" s="213">
        <v>180</v>
      </c>
      <c r="F19" s="212" t="str">
        <f>IF(application="Cut to Length","Sec.", "Deg.")</f>
        <v>Deg.</v>
      </c>
      <c r="G19" s="5" t="s">
        <v>458</v>
      </c>
      <c r="H19" s="221">
        <f ca="1">regen</f>
        <v>770.2126719649425</v>
      </c>
      <c r="I19" s="222" t="s">
        <v>459</v>
      </c>
      <c r="L19" s="613">
        <f ca="1">INDIRECT("'" &amp; $A$101 &amp; "'!B21")</f>
        <v>64</v>
      </c>
      <c r="M19" s="53">
        <f ca="1">INDIRECT("'" &amp; $A$101 &amp; "'!B22")</f>
        <v>236.28127363323242</v>
      </c>
      <c r="N19" s="53">
        <f ca="1">INDIRECT("'" &amp; $A$101 &amp; "'!L22")</f>
        <v>270.09298079672135</v>
      </c>
      <c r="O19" s="53">
        <f ca="1">INDIRECT("'" &amp; $A$101 &amp; "'!B28")</f>
        <v>22</v>
      </c>
      <c r="P19" s="53">
        <f t="shared" ca="1" si="0"/>
        <v>117.33333333333333</v>
      </c>
      <c r="Q19" s="55">
        <f ca="1">INDIRECT("'" &amp; $A$101 &amp; "'!B26")</f>
        <v>1.3552546107140211</v>
      </c>
      <c r="R19" s="53">
        <f ca="1">INDIRECT("'" &amp; $A$101 &amp; "'!L28")</f>
        <v>22</v>
      </c>
      <c r="S19" s="619">
        <f t="shared" ca="1" si="1"/>
        <v>117.33333333333333</v>
      </c>
      <c r="T19" s="580">
        <f ca="1">INDIRECT("'" &amp; $A$101 &amp; "'!L26")</f>
        <v>1.3552546107140211</v>
      </c>
    </row>
    <row r="20" spans="1:20" ht="17.45" customHeight="1" x14ac:dyDescent="0.25">
      <c r="A20" s="220" t="s">
        <v>1386</v>
      </c>
      <c r="B20" s="697">
        <f>_xlfn.XLOOKUP(model, tblSigma5[Model], tblSigma5[Acceleration], 0, 0, 1)</f>
        <v>25</v>
      </c>
      <c r="C20" s="212" t="s">
        <v>457</v>
      </c>
      <c r="D20" s="458" t="str">
        <f>IF(application="Cut to Length","Shear Cyc Tim 2", "Feed Angle 2")</f>
        <v>Feed Angle 2</v>
      </c>
      <c r="E20" s="213">
        <v>240</v>
      </c>
      <c r="F20" s="212" t="str">
        <f>IF(application="Cut to Length","Sec.", "Deg.")</f>
        <v>Deg.</v>
      </c>
      <c r="L20" s="613">
        <f ca="1">INDIRECT("'" &amp; $A$101 &amp; "'!C21")</f>
        <v>68</v>
      </c>
      <c r="M20" s="53">
        <f ca="1">INDIRECT("'" &amp; $A$101 &amp; "'!C22")</f>
        <v>231.01250450060741</v>
      </c>
      <c r="N20" s="53">
        <f ca="1">INDIRECT("'" &amp; $A$101 &amp; "'!M22")</f>
        <v>263.94595576277675</v>
      </c>
      <c r="O20" s="53">
        <f ca="1">INDIRECT("'" &amp; $A$101 &amp; "'!C28")</f>
        <v>21</v>
      </c>
      <c r="P20" s="53">
        <f t="shared" ca="1" si="0"/>
        <v>119</v>
      </c>
      <c r="Q20" s="55">
        <f ca="1">INDIRECT("'" &amp; $A$101 &amp; "'!C26")</f>
        <v>1.4259894336217829</v>
      </c>
      <c r="R20" s="53">
        <f ca="1">INDIRECT("'" &amp; $A$101 &amp; "'!M28")</f>
        <v>21</v>
      </c>
      <c r="S20" s="619">
        <f t="shared" ca="1" si="1"/>
        <v>119</v>
      </c>
      <c r="T20" s="580">
        <f ca="1">INDIRECT("'" &amp; $A$101 &amp; "'!M26")</f>
        <v>1.4259894336217829</v>
      </c>
    </row>
    <row r="21" spans="1:20" ht="17.45" customHeight="1" x14ac:dyDescent="0.25">
      <c r="G21" s="5" t="s">
        <v>460</v>
      </c>
      <c r="H21" s="223">
        <f ca="1">VLOOKUP(model,LookupInertia,2)</f>
        <v>0.38829935030184659</v>
      </c>
      <c r="I21" s="222" t="s">
        <v>461</v>
      </c>
      <c r="L21" s="613">
        <f ca="1">INDIRECT("'" &amp; $A$101 &amp; "'!D21")</f>
        <v>72</v>
      </c>
      <c r="M21" s="53">
        <f ca="1">INDIRECT("'" &amp; $A$101 &amp; "'!D22")</f>
        <v>226.13586004258781</v>
      </c>
      <c r="N21" s="53">
        <f ca="1">INDIRECT("'" &amp; $A$101 &amp; "'!N22")</f>
        <v>258.25375281997867</v>
      </c>
      <c r="O21" s="53">
        <f ca="1">INDIRECT("'" &amp; $A$101 &amp; "'!D28")</f>
        <v>20</v>
      </c>
      <c r="P21" s="53">
        <f t="shared" ca="1" si="0"/>
        <v>120</v>
      </c>
      <c r="Q21" s="55">
        <f ca="1">INDIRECT("'" &amp; $A$101 &amp; "'!D26")</f>
        <v>1.4967242565295449</v>
      </c>
      <c r="R21" s="53">
        <f ca="1">INDIRECT("'" &amp; $A$101 &amp; "'!N28")</f>
        <v>20</v>
      </c>
      <c r="S21" s="619">
        <f t="shared" ca="1" si="1"/>
        <v>120</v>
      </c>
      <c r="T21" s="580">
        <f ca="1">INDIRECT("'" &amp; $A$101 &amp; "'!N26")</f>
        <v>1.4967242565295449</v>
      </c>
    </row>
    <row r="22" spans="1:20" ht="17.45" customHeight="1" x14ac:dyDescent="0.25">
      <c r="A22" s="5" t="s">
        <v>462</v>
      </c>
      <c r="B22" s="224">
        <f>VLOOKUP(model,LookupSigma5Feed, 3)</f>
        <v>1500</v>
      </c>
      <c r="C22" s="225" t="s">
        <v>463</v>
      </c>
      <c r="D22" s="5" t="s">
        <v>464</v>
      </c>
      <c r="E22" s="224">
        <f>VLOOKUP(model,LookupSigma5Feed,5)</f>
        <v>1800</v>
      </c>
      <c r="F22" s="212" t="s">
        <v>465</v>
      </c>
      <c r="G22" s="5" t="s">
        <v>466</v>
      </c>
      <c r="H22" s="226">
        <f ca="1">reflin/MINT</f>
        <v>1.4400906108970521</v>
      </c>
      <c r="I22" s="227" t="str">
        <f ca="1">IF(MATCH&gt;12,"EXCESS",IF(AND(MATCH&gt;=10,MATCH&lt;12), "CAUTION","OK"))</f>
        <v>OK</v>
      </c>
      <c r="J22" s="524" t="s">
        <v>838</v>
      </c>
      <c r="L22" s="613">
        <f ca="1">INDIRECT("'" &amp; $A$101 &amp; "'!E21")</f>
        <v>76</v>
      </c>
      <c r="M22" s="53">
        <f ca="1">INDIRECT("'" &amp; $A$101 &amp; "'!E22")</f>
        <v>221.60614881616857</v>
      </c>
      <c r="N22" s="53">
        <f ca="1">INDIRECT("'" &amp; $A$101 &amp; "'!O22")</f>
        <v>252.96405180745867</v>
      </c>
      <c r="O22" s="53">
        <f ca="1">INDIRECT("'" &amp; $A$101 &amp; "'!E28")</f>
        <v>18</v>
      </c>
      <c r="P22" s="53">
        <f t="shared" ca="1" si="0"/>
        <v>114</v>
      </c>
      <c r="Q22" s="55">
        <f ca="1">INDIRECT("'" &amp; $A$101 &amp; "'!E26")</f>
        <v>1.5674590794373069</v>
      </c>
      <c r="R22" s="53">
        <f ca="1">INDIRECT("'" &amp; $A$101 &amp; "'!O28")</f>
        <v>18</v>
      </c>
      <c r="S22" s="619">
        <f t="shared" ca="1" si="1"/>
        <v>114</v>
      </c>
      <c r="T22" s="580">
        <f ca="1">INDIRECT("'" &amp; $A$101 &amp; "'!O26")</f>
        <v>1.5674590794373069</v>
      </c>
    </row>
    <row r="23" spans="1:20" ht="17.45" customHeight="1" x14ac:dyDescent="0.25">
      <c r="A23" s="5" t="s">
        <v>467</v>
      </c>
      <c r="B23" s="228">
        <f>VLOOKUP(model,LookupSigma5Feed,4)</f>
        <v>0.26963535999999999</v>
      </c>
      <c r="C23" s="222" t="s">
        <v>461</v>
      </c>
      <c r="D23" s="5" t="s">
        <v>468</v>
      </c>
      <c r="E23" s="224">
        <f>VLOOKUP(model,LookupSigma5Feed,6)</f>
        <v>797</v>
      </c>
      <c r="F23" s="212" t="s">
        <v>465</v>
      </c>
      <c r="G23" s="5" t="s">
        <v>469</v>
      </c>
      <c r="H23" s="221">
        <f ca="1">ACCTQ+FRICTQ+LOOPTQ</f>
        <v>647.25850228899401</v>
      </c>
      <c r="I23" s="227" t="str">
        <f ca="1">IF(MPEAK&gt;PEAKTQ,"OK","EXCESS")</f>
        <v>OK</v>
      </c>
      <c r="J23" s="524" t="s">
        <v>839</v>
      </c>
      <c r="L23" s="613">
        <f ca="1">INDIRECT("'" &amp; $A$101 &amp; "'!F21")</f>
        <v>80</v>
      </c>
      <c r="M23" s="53">
        <f ca="1">INDIRECT("'" &amp; $A$101 &amp; "'!F22")</f>
        <v>217.38511360080599</v>
      </c>
      <c r="N23" s="53">
        <f ca="1">INDIRECT("'" &amp; $A$101 &amp; "'!P22")</f>
        <v>248.03255445535493</v>
      </c>
      <c r="O23" s="53">
        <f ca="1">INDIRECT("'" &amp; $A$101 &amp; "'!F28")</f>
        <v>18</v>
      </c>
      <c r="P23" s="53">
        <f t="shared" ca="1" si="0"/>
        <v>120</v>
      </c>
      <c r="Q23" s="55">
        <f ca="1">INDIRECT("'" &amp; $A$101 &amp; "'!F26")</f>
        <v>1.6381939023450689</v>
      </c>
      <c r="R23" s="53">
        <f ca="1">INDIRECT("'" &amp; $A$101 &amp; "'!P28")</f>
        <v>18</v>
      </c>
      <c r="S23" s="619">
        <f t="shared" ca="1" si="1"/>
        <v>120</v>
      </c>
      <c r="T23" s="580">
        <f ca="1">INDIRECT("'" &amp; $A$101 &amp; "'!P26")</f>
        <v>1.6381939023450689</v>
      </c>
    </row>
    <row r="24" spans="1:20" ht="17.45" customHeight="1" x14ac:dyDescent="0.25">
      <c r="A24" s="229" t="s">
        <v>1129</v>
      </c>
      <c r="B24" s="221">
        <f>MRPM/RATIO*(VLOOKUP(model,LookupSigma5Feed,13)*PI()/720)*60</f>
        <v>282.74616628474422</v>
      </c>
      <c r="C24" s="225" t="s">
        <v>452</v>
      </c>
      <c r="D24" s="229" t="s">
        <v>470</v>
      </c>
      <c r="E24" s="221">
        <f>((VLOOKUP(model,LookupSigma5Feed,12))*0.5*B18)/RATIO+VLOOKUP(model,LookupSigma5Feed,19)</f>
        <v>22.200108001080011</v>
      </c>
      <c r="F24" s="212" t="s">
        <v>465</v>
      </c>
      <c r="G24" s="5" t="s">
        <v>471</v>
      </c>
      <c r="H24" s="221">
        <f ca="1">SQRT(((PEAKTQ^2*ACCTM)+(ACCTQ^2*ACCTM)+(SETTQ^2*SETTM)+(LOOPTQ^2*DWLTM))/CYCTM)</f>
        <v>411.66289519083347</v>
      </c>
      <c r="I24" s="227" t="str">
        <f ca="1">IF(MRMS&gt;RMSTQ,"OK","EXCESS")</f>
        <v>OK</v>
      </c>
      <c r="J24" s="524" t="s">
        <v>839</v>
      </c>
      <c r="L24" s="613">
        <f ca="1">INDIRECT("'" &amp; $A$101 &amp; "'!G21")</f>
        <v>84</v>
      </c>
      <c r="M24" s="53">
        <f ca="1">INDIRECT("'" &amp; $A$101 &amp; "'!G22")</f>
        <v>213.44012294863242</v>
      </c>
      <c r="N24" s="53">
        <f ca="1">INDIRECT("'" &amp; $A$101 &amp; "'!Q22")</f>
        <v>243.42147131077942</v>
      </c>
      <c r="O24" s="53">
        <f ca="1">INDIRECT("'" &amp; $A$101 &amp; "'!G28")</f>
        <v>17</v>
      </c>
      <c r="P24" s="53">
        <f t="shared" ca="1" si="0"/>
        <v>119</v>
      </c>
      <c r="Q24" s="55">
        <f ca="1">INDIRECT("'" &amp; $A$101 &amp; "'!G26")</f>
        <v>1.7089287252528307</v>
      </c>
      <c r="R24" s="53">
        <f ca="1">INDIRECT("'" &amp; $A$101 &amp; "'!Q28")</f>
        <v>17</v>
      </c>
      <c r="S24" s="619">
        <f t="shared" ca="1" si="1"/>
        <v>119</v>
      </c>
      <c r="T24" s="580">
        <f ca="1">INDIRECT("'" &amp; $A$101 &amp; "'!Q26")</f>
        <v>1.7089287252528307</v>
      </c>
    </row>
    <row r="25" spans="1:20" ht="17.45" customHeight="1" x14ac:dyDescent="0.25">
      <c r="A25" s="229" t="s">
        <v>472</v>
      </c>
      <c r="B25" s="229">
        <f ca="1">IF(MATCH&lt;10, 0.035, 0.06)</f>
        <v>3.5000000000000003E-2</v>
      </c>
      <c r="C25" s="225" t="s">
        <v>473</v>
      </c>
      <c r="D25" s="229" t="s">
        <v>474</v>
      </c>
      <c r="E25" s="230">
        <f>((B15*C15*E15*F15*0.5)*(VLOOKUP(model,LookupSigma5Feed,12))*0.5)/RATIO/VLOOKUP(model,LookupSigma5Feed,9)</f>
        <v>66.81845742005352</v>
      </c>
      <c r="F25" s="212" t="s">
        <v>465</v>
      </c>
      <c r="G25" s="5" t="s">
        <v>475</v>
      </c>
      <c r="H25" s="221">
        <f ca="1">SQRT(((PEAKTQ^2*ACCTM_2)+(ACCTQ^2*ACCTM_2)+(SETTQ^2*SETTM)+(LOOPTQ^2*DWLTM_2))/CYCTM_2)</f>
        <v>473.77936174820201</v>
      </c>
      <c r="I25" s="227" t="str">
        <f ca="1">IF(MRMS&gt;RMSTQ_2,"OK","EXCESS")</f>
        <v>OK</v>
      </c>
      <c r="J25" s="524" t="s">
        <v>839</v>
      </c>
      <c r="L25" s="613">
        <f ca="1">INDIRECT("'" &amp; $A$101 &amp; "'!H21")</f>
        <v>88</v>
      </c>
      <c r="M25" s="53">
        <f ca="1">INDIRECT("'" &amp; $A$101 &amp; "'!H22")</f>
        <v>209.7431521670504</v>
      </c>
      <c r="N25" s="53">
        <f ca="1">INDIRECT("'" &amp; $A$101 &amp; "'!R22")</f>
        <v>239.09834327593208</v>
      </c>
      <c r="O25" s="53">
        <f ca="1">INDIRECT("'" &amp; $A$101 &amp; "'!H28")</f>
        <v>16</v>
      </c>
      <c r="P25" s="53">
        <f t="shared" ca="1" si="0"/>
        <v>117.33333333333333</v>
      </c>
      <c r="Q25" s="55">
        <f ca="1">INDIRECT("'" &amp; $A$101 &amp; "'!H26")</f>
        <v>1.7796635481605929</v>
      </c>
      <c r="R25" s="53">
        <f ca="1">INDIRECT("'" &amp; $A$101 &amp; "'!R28")</f>
        <v>16</v>
      </c>
      <c r="S25" s="619">
        <f t="shared" ca="1" si="1"/>
        <v>117.33333333333333</v>
      </c>
      <c r="T25" s="580">
        <f ca="1">INDIRECT("'" &amp; $A$101 &amp; "'!R26")</f>
        <v>1.7796635481605929</v>
      </c>
    </row>
    <row r="26" spans="1:20" ht="17.45" customHeight="1" thickBot="1" x14ac:dyDescent="0.3">
      <c r="A26" s="5" t="s">
        <v>224</v>
      </c>
      <c r="B26" s="231">
        <f>VLOOKUP(model, LookupSigma5Feed,2)</f>
        <v>11.111000000000001</v>
      </c>
      <c r="C26" s="225" t="s">
        <v>476</v>
      </c>
      <c r="D26" s="229" t="s">
        <v>477</v>
      </c>
      <c r="E26" s="229">
        <f>VLOOKUP(model,LookupSigma5Feed,7,FALSE)</f>
        <v>50</v>
      </c>
      <c r="F26" s="212" t="s">
        <v>465</v>
      </c>
      <c r="G26" s="5" t="s">
        <v>478</v>
      </c>
      <c r="H26" s="221">
        <f ca="1">(((reflin*RPM)/(9.55*ACCTM))/(VLOOKUP(model,LookupSigma5Feed,9)))+((MINT*RPM)/(9.55*ACCTM))</f>
        <v>558.23993686786048</v>
      </c>
      <c r="I26" s="227" t="str">
        <f ca="1">IF(ACCTQ&lt;MPEAK,"OK","EXCESS")</f>
        <v>OK</v>
      </c>
      <c r="J26" s="524" t="s">
        <v>839</v>
      </c>
      <c r="L26" s="576">
        <f ca="1">INDIRECT("'" &amp; $A$101 &amp; "'!I21")</f>
        <v>92</v>
      </c>
      <c r="M26" s="233">
        <f ca="1">INDIRECT("'" &amp; $A$101 &amp; "'!I22")</f>
        <v>206.26998101757914</v>
      </c>
      <c r="N26" s="233">
        <f ca="1">INDIRECT("'" &amp; $A$101 &amp; "'!S22")</f>
        <v>235.03511370571442</v>
      </c>
      <c r="O26" s="233">
        <f ca="1">INDIRECT("'" &amp; $A$101 &amp; "'!I28")</f>
        <v>15</v>
      </c>
      <c r="P26" s="233">
        <f t="shared" ca="1" si="0"/>
        <v>115</v>
      </c>
      <c r="Q26" s="234">
        <f ca="1">INDIRECT("'" &amp; $A$101 &amp; "'!I26")</f>
        <v>1.8503983710683547</v>
      </c>
      <c r="R26" s="233">
        <f ca="1">INDIRECT("'" &amp; $A$101 &amp; "'!S28")</f>
        <v>15</v>
      </c>
      <c r="S26" s="389">
        <f t="shared" ca="1" si="1"/>
        <v>115</v>
      </c>
      <c r="T26" s="618">
        <f ca="1">INDIRECT("'" &amp; $A$101 &amp; "'!S26")</f>
        <v>1.8503983710683547</v>
      </c>
    </row>
    <row r="27" spans="1:20" x14ac:dyDescent="0.25">
      <c r="E27" s="41"/>
    </row>
    <row r="53" spans="1:24" x14ac:dyDescent="0.25">
      <c r="B53" s="2"/>
      <c r="C53" s="2"/>
      <c r="D53" s="2"/>
      <c r="E53" s="2"/>
      <c r="F53" s="2"/>
      <c r="G53" s="2"/>
      <c r="H53" s="2"/>
      <c r="I53" s="2"/>
    </row>
    <row r="54" spans="1:24" x14ac:dyDescent="0.25">
      <c r="B54" s="2"/>
      <c r="C54" s="2"/>
      <c r="D54" s="2"/>
      <c r="E54" s="2"/>
      <c r="F54" s="2"/>
      <c r="G54" s="2"/>
      <c r="H54" s="2"/>
      <c r="I54" s="2"/>
    </row>
    <row r="55" spans="1:24" x14ac:dyDescent="0.25">
      <c r="B55" s="2"/>
      <c r="C55" s="2"/>
      <c r="D55" s="2"/>
      <c r="E55" s="2"/>
      <c r="F55" s="2"/>
      <c r="G55" s="2"/>
      <c r="H55" s="2"/>
      <c r="I55" s="2"/>
    </row>
    <row r="56" spans="1:24" x14ac:dyDescent="0.25">
      <c r="B56" s="2"/>
      <c r="C56" s="2"/>
      <c r="D56" s="2"/>
      <c r="E56" s="2"/>
      <c r="F56" s="2"/>
      <c r="G56" s="2"/>
      <c r="H56" s="2"/>
      <c r="I56" s="2"/>
    </row>
    <row r="57" spans="1:24" x14ac:dyDescent="0.25">
      <c r="B57" s="2"/>
      <c r="C57" s="2"/>
      <c r="D57" s="2"/>
      <c r="E57" s="2"/>
      <c r="F57" s="2"/>
      <c r="G57" s="2"/>
      <c r="H57" s="2"/>
      <c r="I57" s="2"/>
    </row>
    <row r="58" spans="1:24" x14ac:dyDescent="0.25">
      <c r="B58" s="2"/>
      <c r="C58" s="2"/>
      <c r="D58" s="2"/>
      <c r="E58" s="2"/>
      <c r="F58" s="2"/>
      <c r="G58" s="2"/>
      <c r="H58" s="2"/>
      <c r="I58" s="2"/>
    </row>
    <row r="59" spans="1:24" hidden="1" x14ac:dyDescent="0.25">
      <c r="B59" s="2"/>
      <c r="C59" s="2"/>
      <c r="D59" s="2"/>
      <c r="E59" s="2"/>
      <c r="F59" s="2"/>
      <c r="G59" s="2"/>
      <c r="H59" s="2"/>
      <c r="I59" s="2"/>
    </row>
    <row r="60" spans="1:24" hidden="1" x14ac:dyDescent="0.25">
      <c r="B60" s="2"/>
      <c r="C60" s="2"/>
      <c r="D60" s="2"/>
      <c r="E60" s="2"/>
      <c r="F60" s="2"/>
      <c r="G60" s="2"/>
      <c r="H60" s="2"/>
      <c r="I60" s="2"/>
    </row>
    <row r="61" spans="1:24" hidden="1" x14ac:dyDescent="0.25"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</row>
    <row r="62" spans="1:24" hidden="1" x14ac:dyDescent="0.25">
      <c r="A62">
        <v>1</v>
      </c>
      <c r="B62" s="2">
        <f>A62+1</f>
        <v>2</v>
      </c>
      <c r="I62"/>
    </row>
    <row r="63" spans="1:24" hidden="1" x14ac:dyDescent="0.25">
      <c r="A63" s="547" t="s">
        <v>1001</v>
      </c>
    </row>
    <row r="64" spans="1:24" ht="15.75" hidden="1" x14ac:dyDescent="0.25">
      <c r="A64" s="241" t="s">
        <v>160</v>
      </c>
      <c r="B64" t="s">
        <v>486</v>
      </c>
      <c r="D64" s="40"/>
      <c r="G64" s="201"/>
      <c r="H64" s="236"/>
      <c r="I64" s="237"/>
      <c r="J64" s="236"/>
      <c r="K64" s="201"/>
      <c r="L64" s="236"/>
      <c r="M64" s="236"/>
      <c r="N64" s="238"/>
      <c r="O64" s="238"/>
      <c r="P64" s="238"/>
      <c r="Q64" s="238"/>
      <c r="R64" s="238"/>
      <c r="S64" s="238"/>
      <c r="T64" s="239"/>
      <c r="U64" s="239"/>
      <c r="V64" s="239"/>
      <c r="W64" s="240"/>
      <c r="X64" s="236"/>
    </row>
    <row r="65" spans="1:23" ht="15.75" hidden="1" x14ac:dyDescent="0.25">
      <c r="A65" s="241" t="s">
        <v>492</v>
      </c>
      <c r="B65" s="236">
        <f ca="1">Inertia!$M$41</f>
        <v>4.6083477729634507E-3</v>
      </c>
      <c r="D65" s="40"/>
      <c r="G65" s="201"/>
      <c r="H65" s="236"/>
      <c r="I65" s="237"/>
      <c r="J65" s="236"/>
      <c r="K65" s="201"/>
      <c r="L65" s="236"/>
      <c r="M65" s="236"/>
      <c r="N65" s="238"/>
      <c r="O65" s="238"/>
      <c r="P65" s="238"/>
      <c r="Q65" s="238"/>
      <c r="R65" s="238"/>
      <c r="S65" s="238"/>
      <c r="T65" s="239"/>
      <c r="U65" s="239"/>
      <c r="V65" s="239"/>
      <c r="W65" s="240"/>
    </row>
    <row r="66" spans="1:23" ht="15.75" hidden="1" x14ac:dyDescent="0.25">
      <c r="A66" s="241" t="s">
        <v>495</v>
      </c>
      <c r="B66" s="236">
        <f ca="1">Inertia!$B$41</f>
        <v>5.5498923780255404E-3</v>
      </c>
      <c r="D66" s="40"/>
      <c r="G66" s="201"/>
      <c r="H66" s="236"/>
      <c r="I66" s="237"/>
      <c r="J66" s="236"/>
      <c r="K66" s="201"/>
      <c r="L66" s="236"/>
      <c r="M66" s="236"/>
      <c r="N66" s="238"/>
      <c r="O66" s="238"/>
      <c r="P66" s="238"/>
      <c r="Q66" s="238"/>
      <c r="R66" s="238"/>
      <c r="S66" s="238"/>
      <c r="T66" s="239"/>
      <c r="U66" s="239"/>
      <c r="V66" s="239"/>
      <c r="W66" s="240"/>
    </row>
    <row r="67" spans="1:23" ht="15.75" hidden="1" x14ac:dyDescent="0.25">
      <c r="A67" s="241" t="s">
        <v>496</v>
      </c>
      <c r="B67" s="236">
        <f ca="1">Inertia!$X$41</f>
        <v>7.8768931447615129E-3</v>
      </c>
      <c r="D67" s="40"/>
      <c r="G67" s="201"/>
      <c r="H67" s="236"/>
      <c r="I67" s="237"/>
      <c r="J67" s="236"/>
      <c r="K67" s="201"/>
      <c r="L67" s="236"/>
      <c r="M67" s="236"/>
      <c r="N67" s="238"/>
      <c r="O67" s="238"/>
      <c r="P67" s="238"/>
      <c r="Q67" s="238"/>
      <c r="R67" s="238"/>
      <c r="S67" s="238"/>
      <c r="T67" s="239"/>
      <c r="U67" s="239"/>
      <c r="V67" s="239"/>
      <c r="W67" s="240"/>
    </row>
    <row r="68" spans="1:23" ht="15.75" hidden="1" x14ac:dyDescent="0.25">
      <c r="A68" s="241" t="s">
        <v>499</v>
      </c>
      <c r="B68" s="236">
        <f ca="1">Inertia!$AI$41</f>
        <v>8.8972682694678368E-3</v>
      </c>
      <c r="D68" s="40"/>
      <c r="G68" s="201"/>
      <c r="H68" s="236"/>
      <c r="I68" s="237"/>
      <c r="J68" s="236"/>
      <c r="K68" s="201"/>
      <c r="L68" s="236"/>
      <c r="M68" s="236"/>
      <c r="N68" s="238"/>
      <c r="O68" s="238"/>
      <c r="P68" s="238"/>
      <c r="Q68" s="238"/>
      <c r="R68" s="238"/>
      <c r="S68" s="238"/>
      <c r="T68" s="239"/>
      <c r="U68" s="239"/>
      <c r="V68" s="239"/>
      <c r="W68" s="240"/>
    </row>
    <row r="69" spans="1:23" ht="15.75" hidden="1" x14ac:dyDescent="0.25">
      <c r="A69" s="241" t="s">
        <v>500</v>
      </c>
      <c r="B69" s="236">
        <f ca="1">Inertia!$AT$43</f>
        <v>2.0191940569855703E-2</v>
      </c>
      <c r="D69" s="40"/>
      <c r="G69" s="201"/>
      <c r="H69" s="236"/>
      <c r="I69" s="237"/>
      <c r="J69" s="236"/>
      <c r="K69" s="201"/>
      <c r="L69" s="236"/>
      <c r="M69" s="236"/>
      <c r="N69" s="238"/>
      <c r="O69" s="238"/>
      <c r="P69" s="238"/>
      <c r="Q69" s="238"/>
      <c r="R69" s="238"/>
      <c r="S69" s="238"/>
      <c r="T69" s="239"/>
      <c r="U69" s="239"/>
      <c r="V69" s="239"/>
      <c r="W69" s="240"/>
    </row>
    <row r="70" spans="1:23" ht="15.75" hidden="1" x14ac:dyDescent="0.25">
      <c r="A70" s="241" t="s">
        <v>503</v>
      </c>
      <c r="B70" s="236">
        <f ca="1">Inertia!$BE$43</f>
        <v>2.6604421233096549E-2</v>
      </c>
      <c r="D70" s="40"/>
      <c r="G70" s="201"/>
      <c r="H70" s="236"/>
      <c r="I70" s="237"/>
      <c r="J70" s="236"/>
      <c r="K70" s="201"/>
      <c r="L70" s="236"/>
      <c r="M70" s="236"/>
      <c r="N70" s="238"/>
      <c r="O70" s="238"/>
      <c r="P70" s="238"/>
      <c r="Q70" s="238"/>
      <c r="R70" s="238"/>
      <c r="S70" s="238"/>
      <c r="T70" s="239"/>
      <c r="U70" s="239"/>
      <c r="V70" s="239"/>
      <c r="W70" s="240"/>
    </row>
    <row r="71" spans="1:23" ht="15.75" hidden="1" x14ac:dyDescent="0.25">
      <c r="A71" s="241" t="s">
        <v>504</v>
      </c>
      <c r="B71" s="236">
        <f ca="1">Inertia!$BP$43</f>
        <v>3.3323144890985458E-2</v>
      </c>
      <c r="D71" s="40"/>
      <c r="G71" s="201"/>
      <c r="H71" s="236"/>
      <c r="I71" s="237"/>
      <c r="J71" s="236"/>
      <c r="K71" s="201"/>
      <c r="L71" s="236"/>
      <c r="M71" s="236"/>
      <c r="N71" s="238"/>
      <c r="O71" s="238"/>
      <c r="P71" s="238"/>
      <c r="Q71" s="238"/>
      <c r="R71" s="238"/>
      <c r="S71" s="238"/>
      <c r="T71" s="239"/>
      <c r="U71" s="239"/>
      <c r="V71" s="239"/>
      <c r="W71" s="240"/>
    </row>
    <row r="72" spans="1:23" ht="15.75" hidden="1" x14ac:dyDescent="0.25">
      <c r="A72" s="241" t="s">
        <v>440</v>
      </c>
      <c r="B72" s="236">
        <f ca="1">Inertia!$CA$43</f>
        <v>3.9710004506884271E-2</v>
      </c>
      <c r="D72" s="40"/>
      <c r="G72" s="201"/>
      <c r="H72" s="236"/>
      <c r="I72" s="237"/>
      <c r="J72" s="236"/>
      <c r="K72" s="201"/>
      <c r="L72" s="236"/>
      <c r="M72" s="236"/>
      <c r="N72" s="238"/>
      <c r="O72" s="238"/>
      <c r="P72" s="238"/>
      <c r="Q72" s="238"/>
      <c r="R72" s="238"/>
      <c r="S72" s="238"/>
      <c r="T72" s="239"/>
      <c r="U72" s="239"/>
      <c r="V72" s="239"/>
      <c r="W72" s="240"/>
    </row>
    <row r="73" spans="1:23" ht="15.75" hidden="1" x14ac:dyDescent="0.25">
      <c r="A73" s="241" t="s">
        <v>507</v>
      </c>
      <c r="B73" s="236">
        <f ca="1">Inertia!$CL$43</f>
        <v>0.11464869547191876</v>
      </c>
      <c r="D73" s="40"/>
      <c r="G73" s="201"/>
      <c r="H73" s="236"/>
      <c r="I73" s="237"/>
      <c r="J73" s="236"/>
      <c r="K73" s="201"/>
      <c r="L73" s="236"/>
      <c r="M73" s="236"/>
      <c r="N73" s="238"/>
      <c r="O73" s="238"/>
      <c r="P73" s="238"/>
      <c r="Q73" s="238"/>
      <c r="R73" s="238"/>
      <c r="S73" s="238"/>
      <c r="T73" s="239"/>
      <c r="U73" s="239"/>
      <c r="V73" s="239"/>
      <c r="W73" s="240"/>
    </row>
    <row r="74" spans="1:23" ht="15.75" hidden="1" x14ac:dyDescent="0.25">
      <c r="A74" s="241" t="s">
        <v>510</v>
      </c>
      <c r="B74" s="236">
        <f ca="1">Inertia!$CW$46</f>
        <v>0.13356352268496202</v>
      </c>
      <c r="D74" s="40"/>
      <c r="G74" s="201"/>
      <c r="H74" s="236"/>
      <c r="I74" s="237"/>
      <c r="J74" s="236"/>
      <c r="K74" s="201"/>
      <c r="L74" s="236"/>
      <c r="M74" s="236"/>
      <c r="N74" s="238"/>
      <c r="O74" s="238"/>
      <c r="P74" s="238"/>
      <c r="Q74" s="238"/>
      <c r="R74" s="238"/>
      <c r="S74" s="238"/>
      <c r="T74" s="239"/>
      <c r="U74" s="239"/>
      <c r="V74" s="239"/>
      <c r="W74" s="240"/>
    </row>
    <row r="75" spans="1:23" ht="15.75" hidden="1" x14ac:dyDescent="0.25">
      <c r="A75" s="241" t="s">
        <v>511</v>
      </c>
      <c r="B75" s="236">
        <f ca="1">Inertia!$DH$46</f>
        <v>0.25851870675370164</v>
      </c>
      <c r="D75" s="40"/>
      <c r="G75" s="201"/>
      <c r="H75" s="236"/>
      <c r="I75" s="237"/>
      <c r="J75" s="236"/>
      <c r="K75" s="201"/>
      <c r="L75" s="236"/>
      <c r="M75" s="236"/>
      <c r="N75" s="238"/>
      <c r="O75" s="238"/>
      <c r="P75" s="238"/>
      <c r="Q75" s="238"/>
      <c r="R75" s="238"/>
      <c r="S75" s="238"/>
      <c r="T75" s="239"/>
      <c r="U75" s="239"/>
      <c r="V75" s="239"/>
      <c r="W75" s="240"/>
    </row>
    <row r="76" spans="1:23" hidden="1" x14ac:dyDescent="0.25">
      <c r="A76" s="241" t="s">
        <v>514</v>
      </c>
      <c r="B76" s="236">
        <f ca="1">Inertia!$DS$46</f>
        <v>0.38829935030184659</v>
      </c>
    </row>
    <row r="77" spans="1:23" hidden="1" x14ac:dyDescent="0.25"/>
    <row r="78" spans="1:23" ht="15.75" hidden="1" x14ac:dyDescent="0.25">
      <c r="A78" s="241"/>
      <c r="B78" s="242"/>
      <c r="C78" s="338"/>
      <c r="D78" s="243"/>
      <c r="E78" s="338"/>
      <c r="F78" s="338"/>
      <c r="G78" s="338"/>
      <c r="H78" s="338"/>
      <c r="I78" s="338"/>
      <c r="J78" s="242" t="s">
        <v>1000</v>
      </c>
      <c r="K78" s="244">
        <f>StrMaxSp*12</f>
        <v>1440</v>
      </c>
    </row>
    <row r="79" spans="1:23" hidden="1" x14ac:dyDescent="0.25">
      <c r="A79" s="241"/>
      <c r="B79" s="242"/>
      <c r="C79" s="245"/>
      <c r="D79" s="246"/>
      <c r="E79" s="245"/>
      <c r="F79" s="5" t="s">
        <v>517</v>
      </c>
      <c r="G79" s="5">
        <f>((vel*720)/(VLOOKUP(model, LookupSigma5Feed,12)*PI()))*RATIO</f>
        <v>1499.9999999999998</v>
      </c>
      <c r="H79" s="2" t="str">
        <f>IF(RPM&gt;MRPM,"EXCESS","OK")</f>
        <v>OK</v>
      </c>
      <c r="I79" s="245"/>
      <c r="J79" s="242" t="s">
        <v>949</v>
      </c>
      <c r="K79" s="247">
        <f>MRPM/RATIO*(VLOOKUP(model,LookupSigma5Feed,13)*PI()/720)</f>
        <v>4.7124361047457368</v>
      </c>
    </row>
    <row r="80" spans="1:23" ht="15.75" hidden="1" x14ac:dyDescent="0.25">
      <c r="A80" s="248"/>
      <c r="B80" s="245"/>
      <c r="C80" s="245"/>
      <c r="D80" s="246"/>
      <c r="E80" s="245"/>
      <c r="F80" s="5" t="s">
        <v>518</v>
      </c>
      <c r="G80" s="249">
        <f ca="1">(((reflin*RPM)/(9.55*ACCTM_2))/(VLOOKUP(model,LookupSigma5Feed,9)))+((MINT*RPM)/(9.55*ACCTM_2))</f>
        <v>558.23993686786048</v>
      </c>
      <c r="H80" s="245"/>
      <c r="I80" s="245"/>
      <c r="J80" s="245"/>
    </row>
    <row r="81" spans="1:10" hidden="1" x14ac:dyDescent="0.25">
      <c r="A81" s="241"/>
      <c r="B81" s="548"/>
      <c r="C81" s="548"/>
      <c r="D81" s="548"/>
      <c r="E81" s="548"/>
      <c r="F81" s="549"/>
      <c r="G81" s="550"/>
      <c r="H81" s="551"/>
      <c r="I81" s="552"/>
      <c r="J81" s="553"/>
    </row>
    <row r="82" spans="1:10" hidden="1" x14ac:dyDescent="0.25">
      <c r="A82" s="241"/>
      <c r="B82" s="548"/>
      <c r="C82" s="548"/>
      <c r="D82" s="548"/>
      <c r="E82" s="548"/>
      <c r="F82" s="554"/>
      <c r="G82" s="550"/>
      <c r="H82" s="551"/>
      <c r="I82" s="552"/>
      <c r="J82" s="553"/>
    </row>
    <row r="83" spans="1:10" hidden="1" x14ac:dyDescent="0.25">
      <c r="A83" s="241"/>
      <c r="B83" s="548"/>
      <c r="C83" s="548"/>
      <c r="D83" s="548"/>
      <c r="E83" s="548"/>
      <c r="F83" s="555"/>
      <c r="G83" s="550"/>
      <c r="H83" s="551"/>
      <c r="I83" s="555"/>
      <c r="J83" s="555"/>
    </row>
    <row r="84" spans="1:10" hidden="1" x14ac:dyDescent="0.25">
      <c r="C84" s="2"/>
      <c r="D84" s="2"/>
      <c r="E84" s="548"/>
      <c r="F84" s="554"/>
      <c r="G84" s="550"/>
      <c r="H84" s="551"/>
      <c r="I84" s="552"/>
      <c r="J84" s="553"/>
    </row>
    <row r="85" spans="1:10" hidden="1" x14ac:dyDescent="0.25">
      <c r="E85" s="548"/>
      <c r="F85" s="554"/>
      <c r="G85" s="550"/>
      <c r="H85" s="551"/>
      <c r="I85" s="552"/>
      <c r="J85" s="553"/>
    </row>
    <row r="86" spans="1:10" hidden="1" x14ac:dyDescent="0.25">
      <c r="E86" s="548"/>
      <c r="F86" s="555"/>
      <c r="G86" s="550"/>
      <c r="H86" s="551"/>
      <c r="I86" s="555"/>
      <c r="J86" s="555"/>
    </row>
    <row r="87" spans="1:10" hidden="1" x14ac:dyDescent="0.25">
      <c r="C87" s="236"/>
      <c r="D87" s="236"/>
      <c r="E87" s="548"/>
      <c r="F87" s="554"/>
      <c r="G87" s="550"/>
      <c r="H87" s="551"/>
      <c r="I87" s="552"/>
      <c r="J87" s="553"/>
    </row>
    <row r="88" spans="1:10" hidden="1" x14ac:dyDescent="0.25">
      <c r="C88" s="236"/>
      <c r="D88" s="236"/>
      <c r="E88" s="548"/>
      <c r="F88" s="554"/>
      <c r="G88" s="550"/>
      <c r="H88" s="551"/>
      <c r="I88" s="552"/>
      <c r="J88" s="553"/>
    </row>
    <row r="89" spans="1:10" hidden="1" x14ac:dyDescent="0.25">
      <c r="C89" s="236"/>
      <c r="D89" s="236"/>
      <c r="E89" s="548"/>
      <c r="F89" s="555"/>
      <c r="G89" s="550"/>
      <c r="H89" s="551"/>
      <c r="I89" s="555"/>
      <c r="J89" s="555"/>
    </row>
    <row r="90" spans="1:10" hidden="1" x14ac:dyDescent="0.25">
      <c r="C90" s="236"/>
      <c r="D90" s="236"/>
      <c r="E90" s="548"/>
      <c r="F90" s="554"/>
      <c r="G90" s="550"/>
      <c r="H90" s="551"/>
      <c r="I90" s="552"/>
      <c r="J90" s="553"/>
    </row>
    <row r="91" spans="1:10" hidden="1" x14ac:dyDescent="0.25">
      <c r="C91" s="236"/>
      <c r="D91" s="236"/>
      <c r="E91" s="548"/>
      <c r="F91" s="554"/>
      <c r="G91" s="550"/>
      <c r="H91" s="551"/>
      <c r="I91" s="552"/>
      <c r="J91" s="553"/>
    </row>
    <row r="92" spans="1:10" hidden="1" x14ac:dyDescent="0.25">
      <c r="C92" s="236"/>
      <c r="D92" s="236"/>
      <c r="E92" s="548"/>
      <c r="F92" s="555"/>
      <c r="G92" s="550"/>
      <c r="H92" s="551"/>
      <c r="I92" s="555"/>
      <c r="J92" s="555"/>
    </row>
    <row r="93" spans="1:10" hidden="1" x14ac:dyDescent="0.25">
      <c r="C93" s="236"/>
      <c r="D93" s="236"/>
      <c r="E93" s="548"/>
      <c r="F93" s="554"/>
      <c r="G93" s="550"/>
      <c r="H93" s="551"/>
      <c r="I93" s="552"/>
      <c r="J93" s="553"/>
    </row>
    <row r="94" spans="1:10" hidden="1" x14ac:dyDescent="0.25">
      <c r="C94" s="236"/>
      <c r="D94" s="236"/>
      <c r="E94" s="548"/>
      <c r="F94" s="554"/>
      <c r="G94" s="550"/>
      <c r="H94" s="551"/>
      <c r="I94" s="552"/>
      <c r="J94" s="553"/>
    </row>
    <row r="95" spans="1:10" hidden="1" x14ac:dyDescent="0.25">
      <c r="C95" s="236"/>
      <c r="D95" s="236"/>
      <c r="E95" s="548"/>
      <c r="F95" s="555"/>
      <c r="G95" s="550"/>
      <c r="H95" s="551"/>
      <c r="I95" s="555"/>
      <c r="J95" s="555"/>
    </row>
    <row r="96" spans="1:10" hidden="1" x14ac:dyDescent="0.25">
      <c r="C96" s="236"/>
      <c r="D96" s="236"/>
      <c r="E96" s="548"/>
      <c r="F96" s="554"/>
      <c r="G96" s="550"/>
      <c r="H96" s="551"/>
      <c r="I96" s="552"/>
      <c r="J96" s="553"/>
    </row>
    <row r="97" spans="1:10" hidden="1" x14ac:dyDescent="0.25">
      <c r="C97" s="236"/>
      <c r="D97" s="236"/>
      <c r="E97" s="548"/>
      <c r="F97" s="554"/>
      <c r="G97" s="550"/>
      <c r="H97" s="551"/>
      <c r="I97" s="552"/>
      <c r="J97" s="553"/>
    </row>
    <row r="98" spans="1:10" hidden="1" x14ac:dyDescent="0.25">
      <c r="C98" s="236"/>
      <c r="D98" s="236"/>
      <c r="E98" s="548"/>
      <c r="F98" s="555"/>
      <c r="G98" s="550"/>
      <c r="H98" s="551"/>
      <c r="I98" s="555"/>
      <c r="J98" s="555"/>
    </row>
    <row r="99" spans="1:10" hidden="1" x14ac:dyDescent="0.25">
      <c r="A99" s="241"/>
      <c r="B99" s="548"/>
      <c r="C99" s="548"/>
      <c r="D99" s="548"/>
      <c r="E99" s="548"/>
      <c r="F99" s="555"/>
      <c r="G99" s="550"/>
      <c r="H99" s="551"/>
      <c r="I99" s="552"/>
      <c r="J99" s="553"/>
    </row>
    <row r="100" spans="1:10" hidden="1" x14ac:dyDescent="0.25">
      <c r="A100" s="241"/>
      <c r="B100" s="242"/>
      <c r="C100" s="242"/>
      <c r="D100" s="242"/>
      <c r="E100" s="242"/>
      <c r="F100" s="242"/>
      <c r="G100" s="242"/>
      <c r="H100" s="242"/>
      <c r="I100" s="242"/>
      <c r="J100" s="242"/>
    </row>
    <row r="101" spans="1:10" hidden="1" x14ac:dyDescent="0.25">
      <c r="A101" s="600" t="s">
        <v>403</v>
      </c>
      <c r="B101" s="600"/>
      <c r="C101" s="242"/>
      <c r="D101" s="242"/>
      <c r="E101" s="242"/>
      <c r="F101" s="242"/>
      <c r="G101" s="242"/>
      <c r="H101" s="242"/>
      <c r="I101" s="242"/>
      <c r="J101" s="242"/>
    </row>
    <row r="102" spans="1:10" hidden="1" x14ac:dyDescent="0.25">
      <c r="A102" s="600" t="s">
        <v>908</v>
      </c>
      <c r="B102" s="600">
        <f ca="1">INDIRECT("'" &amp; A$101 &amp; "'!" &amp; A102)</f>
        <v>0.18849744418982947</v>
      </c>
      <c r="C102" s="555"/>
      <c r="D102" s="555"/>
      <c r="E102" s="555"/>
      <c r="F102" s="555"/>
      <c r="G102" s="555"/>
      <c r="H102" s="555"/>
      <c r="I102" s="555"/>
      <c r="J102" s="555"/>
    </row>
    <row r="103" spans="1:10" hidden="1" x14ac:dyDescent="0.25">
      <c r="A103" s="600" t="s">
        <v>909</v>
      </c>
      <c r="B103" s="600">
        <f t="shared" ref="B103:B111" ca="1" si="2">INDIRECT("'" &amp; A$101 &amp; "'!" &amp; A103)</f>
        <v>0.18849744418982947</v>
      </c>
      <c r="C103" s="554"/>
      <c r="D103" s="554"/>
      <c r="E103" s="554"/>
      <c r="F103" s="554"/>
      <c r="G103" s="555"/>
      <c r="H103" s="554"/>
      <c r="I103" s="554"/>
      <c r="J103" s="554"/>
    </row>
    <row r="104" spans="1:10" hidden="1" x14ac:dyDescent="0.25">
      <c r="A104" s="600" t="s">
        <v>912</v>
      </c>
      <c r="B104" s="600">
        <f t="shared" ca="1" si="2"/>
        <v>10.659385939829363</v>
      </c>
      <c r="C104" s="554"/>
      <c r="D104" s="554"/>
      <c r="E104" s="554"/>
      <c r="F104" s="554"/>
      <c r="G104" s="555"/>
      <c r="H104" s="554"/>
      <c r="I104" s="554"/>
      <c r="J104" s="554"/>
    </row>
    <row r="105" spans="1:10" hidden="1" x14ac:dyDescent="0.25">
      <c r="A105" s="600" t="s">
        <v>913</v>
      </c>
      <c r="B105" s="600">
        <f t="shared" ca="1" si="2"/>
        <v>10.659385939829363</v>
      </c>
      <c r="C105" s="554"/>
      <c r="D105" s="554"/>
      <c r="E105" s="554"/>
      <c r="F105" s="554"/>
      <c r="G105" s="555"/>
      <c r="H105" s="554"/>
      <c r="I105" s="554"/>
      <c r="J105" s="554"/>
    </row>
    <row r="106" spans="1:10" hidden="1" x14ac:dyDescent="0.25">
      <c r="A106" s="600" t="s">
        <v>915</v>
      </c>
      <c r="B106" s="600">
        <f t="shared" ca="1" si="2"/>
        <v>0.82398977675931784</v>
      </c>
      <c r="C106" s="555"/>
      <c r="D106" s="555"/>
      <c r="E106" s="554"/>
      <c r="F106" s="554"/>
      <c r="G106" s="555"/>
      <c r="H106" s="554"/>
      <c r="I106" s="554"/>
      <c r="J106" s="554"/>
    </row>
    <row r="107" spans="1:10" hidden="1" x14ac:dyDescent="0.25">
      <c r="A107" s="600" t="s">
        <v>916</v>
      </c>
      <c r="B107" s="600">
        <f t="shared" ca="1" si="2"/>
        <v>0.61799233256948838</v>
      </c>
      <c r="C107" s="245"/>
      <c r="D107" s="245"/>
      <c r="E107" s="245"/>
      <c r="F107" s="245"/>
      <c r="G107" s="245"/>
      <c r="H107" s="245"/>
      <c r="I107" s="245"/>
      <c r="J107" s="245"/>
    </row>
    <row r="108" spans="1:10" hidden="1" x14ac:dyDescent="0.25">
      <c r="A108" s="600" t="s">
        <v>918</v>
      </c>
      <c r="B108" s="600">
        <f t="shared" ca="1" si="2"/>
        <v>0.41199488837965892</v>
      </c>
      <c r="C108" s="245"/>
      <c r="D108" s="245"/>
      <c r="E108" s="245"/>
      <c r="F108" s="245"/>
      <c r="G108" s="245"/>
      <c r="H108" s="245"/>
      <c r="I108" s="245"/>
      <c r="J108" s="245"/>
    </row>
    <row r="109" spans="1:10" ht="15.75" hidden="1" x14ac:dyDescent="0.25">
      <c r="A109" s="600" t="s">
        <v>919</v>
      </c>
      <c r="B109" s="600">
        <f t="shared" ca="1" si="2"/>
        <v>0.20599744418982946</v>
      </c>
      <c r="C109" s="338"/>
      <c r="D109" s="338"/>
      <c r="E109" s="338"/>
      <c r="F109" s="338"/>
      <c r="G109" s="338"/>
      <c r="H109" s="338"/>
      <c r="I109" s="338"/>
      <c r="J109" s="338"/>
    </row>
    <row r="110" spans="1:10" ht="15.75" hidden="1" x14ac:dyDescent="0.25">
      <c r="A110" s="600" t="s">
        <v>932</v>
      </c>
      <c r="B110" s="600">
        <f t="shared" ca="1" si="2"/>
        <v>0.41199488837965892</v>
      </c>
      <c r="C110" s="338"/>
      <c r="D110" s="338"/>
      <c r="E110" s="338"/>
      <c r="F110" s="338"/>
      <c r="G110" s="259"/>
      <c r="H110" s="260"/>
      <c r="I110" s="257"/>
      <c r="J110" s="260"/>
    </row>
    <row r="111" spans="1:10" hidden="1" x14ac:dyDescent="0.25">
      <c r="A111" s="600" t="s">
        <v>933</v>
      </c>
      <c r="B111" s="600">
        <f t="shared" ca="1" si="2"/>
        <v>0.41199488837965892</v>
      </c>
      <c r="C111" s="245"/>
      <c r="D111" s="245"/>
      <c r="E111" s="245"/>
      <c r="F111" s="245"/>
      <c r="G111" s="245"/>
      <c r="H111" s="245"/>
      <c r="I111" s="245"/>
      <c r="J111" s="245"/>
    </row>
    <row r="112" spans="1:10" hidden="1" x14ac:dyDescent="0.25">
      <c r="A112" s="600"/>
      <c r="B112" s="600"/>
      <c r="C112" s="245"/>
      <c r="D112" s="245"/>
      <c r="E112" s="245"/>
      <c r="F112" s="245"/>
      <c r="G112" s="245"/>
      <c r="H112" s="245"/>
      <c r="I112" s="245"/>
      <c r="J112" s="245"/>
    </row>
    <row r="113" spans="1:10" hidden="1" x14ac:dyDescent="0.25">
      <c r="A113" s="600"/>
      <c r="B113" s="600"/>
      <c r="C113" s="245"/>
      <c r="D113" s="245"/>
      <c r="E113" s="245"/>
      <c r="F113" s="245"/>
      <c r="G113" s="245"/>
      <c r="H113" s="245"/>
      <c r="I113" s="245"/>
      <c r="J113" s="245"/>
    </row>
    <row r="114" spans="1:10" hidden="1" x14ac:dyDescent="0.25">
      <c r="A114" s="600" t="s">
        <v>645</v>
      </c>
      <c r="B114" s="600"/>
      <c r="C114" s="245"/>
      <c r="D114" s="245"/>
      <c r="E114" s="245"/>
      <c r="F114" s="245"/>
      <c r="G114" s="245"/>
      <c r="H114" s="245"/>
      <c r="I114" s="245"/>
      <c r="J114" s="245"/>
    </row>
    <row r="115" spans="1:10" hidden="1" x14ac:dyDescent="0.25">
      <c r="A115" s="600" t="s">
        <v>917</v>
      </c>
      <c r="B115" s="600">
        <f ca="1">INDIRECT("'" &amp; A$114 &amp; "'!" &amp; A115)</f>
        <v>0.18849744418982947</v>
      </c>
      <c r="C115" s="245"/>
      <c r="D115" s="245"/>
      <c r="E115" s="245"/>
      <c r="F115" s="245"/>
      <c r="G115" s="245"/>
      <c r="H115" s="245"/>
      <c r="I115" s="245"/>
      <c r="J115" s="245"/>
    </row>
    <row r="116" spans="1:10" hidden="1" x14ac:dyDescent="0.25">
      <c r="A116" s="600" t="s">
        <v>490</v>
      </c>
      <c r="B116" s="600">
        <f t="shared" ref="B116:B123" ca="1" si="3">INDIRECT("'" &amp; A$114 &amp; "'!" &amp; A116)</f>
        <v>235</v>
      </c>
    </row>
    <row r="117" spans="1:10" hidden="1" x14ac:dyDescent="0.25">
      <c r="A117" s="600" t="s">
        <v>920</v>
      </c>
      <c r="B117" s="600">
        <f t="shared" ca="1" si="3"/>
        <v>634.64736762959069</v>
      </c>
    </row>
    <row r="118" spans="1:10" hidden="1" x14ac:dyDescent="0.25">
      <c r="A118" s="600" t="s">
        <v>921</v>
      </c>
      <c r="B118" s="600">
        <f t="shared" ca="1" si="3"/>
        <v>49.009335489355664</v>
      </c>
    </row>
    <row r="119" spans="1:10" hidden="1" x14ac:dyDescent="0.25">
      <c r="A119" s="600" t="s">
        <v>922</v>
      </c>
      <c r="B119" s="600">
        <f t="shared" ca="1" si="3"/>
        <v>918.65670311894633</v>
      </c>
    </row>
    <row r="120" spans="1:10" hidden="1" x14ac:dyDescent="0.25">
      <c r="A120" s="600" t="s">
        <v>928</v>
      </c>
      <c r="B120" s="600">
        <f t="shared" ca="1" si="3"/>
        <v>260</v>
      </c>
    </row>
    <row r="121" spans="1:10" hidden="1" x14ac:dyDescent="0.25">
      <c r="A121" s="600" t="s">
        <v>939</v>
      </c>
      <c r="B121" s="600">
        <f t="shared" ca="1" si="3"/>
        <v>770.2126719649425</v>
      </c>
    </row>
    <row r="122" spans="1:10" hidden="1" x14ac:dyDescent="0.25">
      <c r="A122" s="600" t="s">
        <v>947</v>
      </c>
      <c r="B122" s="600">
        <f t="shared" ca="1" si="3"/>
        <v>0.82398977675931784</v>
      </c>
    </row>
    <row r="123" spans="1:10" hidden="1" x14ac:dyDescent="0.25">
      <c r="A123" s="600" t="s">
        <v>948</v>
      </c>
      <c r="B123" s="600">
        <f t="shared" ca="1" si="3"/>
        <v>7.4309119985621452E-2</v>
      </c>
    </row>
    <row r="124" spans="1:10" hidden="1" x14ac:dyDescent="0.25"/>
    <row r="125" spans="1:10" hidden="1" x14ac:dyDescent="0.25"/>
    <row r="126" spans="1:10" hidden="1" x14ac:dyDescent="0.25"/>
  </sheetData>
  <sheetProtection algorithmName="SHA-512" hashValue="I39cQmuMwMuXuAByWFKvCg5u3KJECqHQOj6i8HdnVuTf4+DFPGh/7sfl8AqOGq+j/05ZitHxBKjzTTK/wIOhiQ==" saltValue="Nr9nWGkl03pfGI8+YQvHZg==" spinCount="100000" sheet="1" objects="1" scenarios="1"/>
  <mergeCells count="8">
    <mergeCell ref="A14:A15"/>
    <mergeCell ref="B6:D6"/>
    <mergeCell ref="B5:D5"/>
    <mergeCell ref="M1:N1"/>
    <mergeCell ref="B4:D4"/>
    <mergeCell ref="E12:F12"/>
    <mergeCell ref="B8:C8"/>
    <mergeCell ref="B9:C9"/>
  </mergeCells>
  <conditionalFormatting sqref="H79 I22:I26">
    <cfRule type="expression" dxfId="33" priority="2">
      <formula>H22="OK"</formula>
    </cfRule>
    <cfRule type="expression" dxfId="32" priority="3">
      <formula>H22="EXCESS"</formula>
    </cfRule>
  </conditionalFormatting>
  <conditionalFormatting sqref="B10">
    <cfRule type="cellIs" dxfId="31" priority="1" operator="lessThan">
      <formula>CoilWidth_Max</formula>
    </cfRule>
  </conditionalFormatting>
  <dataValidations count="3">
    <dataValidation type="list" allowBlank="1" showInputMessage="1" showErrorMessage="1" sqref="B11:B12" xr:uid="{1A46431F-4442-4313-8D55-F9BE032C7717}">
      <formula1>LookupYN</formula1>
    </dataValidation>
    <dataValidation type="list" allowBlank="1" showInputMessage="1" showErrorMessage="1" sqref="B9:C9" xr:uid="{917475D4-D2F2-48AF-BAC7-EB935BD970D4}">
      <formula1>Sigma5Models</formula1>
    </dataValidation>
    <dataValidation type="list" allowBlank="1" showInputMessage="1" showErrorMessage="1" sqref="B10" xr:uid="{8474CAF1-6581-46BE-8797-B607CD521839}">
      <formula1>Sigma5Widths</formula1>
    </dataValidation>
  </dataValidations>
  <pageMargins left="0.75" right="0.25" top="0.75" bottom="0.75" header="0.3" footer="0.3"/>
  <pageSetup scale="5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303" r:id="rId4" name="Button 7">
              <controlPr defaultSize="0" print="0" autoFill="0" autoPict="0" macro="[0]!Tbl_Contents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514350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5" r:id="rId5" name="Button 9">
              <controlPr defaultSize="0" print="0" autoFill="0" autoPict="0" macro="[0]!JumpToBackbend">
                <anchor moveWithCells="1" sizeWithCells="1">
                  <from>
                    <xdr:col>20</xdr:col>
                    <xdr:colOff>238125</xdr:colOff>
                    <xdr:row>32</xdr:row>
                    <xdr:rowOff>19050</xdr:rowOff>
                  </from>
                  <to>
                    <xdr:col>22</xdr:col>
                    <xdr:colOff>352425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6" r:id="rId6" name="Button 10">
              <controlPr defaultSize="0" print="0" autoFill="0" autoPict="0" macro="[0]!JumpToTDDBHD">
                <anchor moveWithCells="1" sizeWithCells="1">
                  <from>
                    <xdr:col>20</xdr:col>
                    <xdr:colOff>238125</xdr:colOff>
                    <xdr:row>30</xdr:row>
                    <xdr:rowOff>19050</xdr:rowOff>
                  </from>
                  <to>
                    <xdr:col>22</xdr:col>
                    <xdr:colOff>352425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7" r:id="rId7" name="Button 11">
              <controlPr defaultSize="0" print="0" autoFill="0" autoPict="0" macro="[0]!JumpToStrUtility">
                <anchor moveWithCells="1" sizeWithCells="1">
                  <from>
                    <xdr:col>20</xdr:col>
                    <xdr:colOff>228600</xdr:colOff>
                    <xdr:row>31</xdr:row>
                    <xdr:rowOff>19050</xdr:rowOff>
                  </from>
                  <to>
                    <xdr:col>22</xdr:col>
                    <xdr:colOff>352425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8" r:id="rId8" name="Button 12">
              <controlPr defaultSize="0" print="0" autoFill="0" autoPict="0" macro="[0]!JumpToEquipmentSummary">
                <anchor moveWithCells="1" sizeWithCells="1">
                  <from>
                    <xdr:col>20</xdr:col>
                    <xdr:colOff>228600</xdr:colOff>
                    <xdr:row>29</xdr:row>
                    <xdr:rowOff>19050</xdr:rowOff>
                  </from>
                  <to>
                    <xdr:col>22</xdr:col>
                    <xdr:colOff>352425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9" r:id="rId9" name="Button 13">
              <controlPr defaultSize="0" print="0" autoFill="0" autoPict="0" macro="[0]!JumpToRFQ">
                <anchor moveWithCells="1" sizeWithCells="1">
                  <from>
                    <xdr:col>20</xdr:col>
                    <xdr:colOff>228600</xdr:colOff>
                    <xdr:row>27</xdr:row>
                    <xdr:rowOff>0</xdr:rowOff>
                  </from>
                  <to>
                    <xdr:col>22</xdr:col>
                    <xdr:colOff>352425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0" r:id="rId10" name="Button 14">
              <controlPr defaultSize="0" print="0" autoFill="0" autoPict="0" macro="[0]!JumpToMaterialSpecs">
                <anchor moveWithCells="1" sizeWithCells="1">
                  <from>
                    <xdr:col>20</xdr:col>
                    <xdr:colOff>228600</xdr:colOff>
                    <xdr:row>28</xdr:row>
                    <xdr:rowOff>9525</xdr:rowOff>
                  </from>
                  <to>
                    <xdr:col>22</xdr:col>
                    <xdr:colOff>352425</xdr:colOff>
                    <xdr:row>29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D1F80D-FCF8-4AF1-9C19-BF358170A6F7}">
  <sheetPr codeName="Sheet15">
    <tabColor rgb="FFFF0000"/>
  </sheetPr>
  <dimension ref="A1:L45"/>
  <sheetViews>
    <sheetView workbookViewId="0">
      <selection activeCell="H40" sqref="H40"/>
    </sheetView>
  </sheetViews>
  <sheetFormatPr defaultRowHeight="15" x14ac:dyDescent="0.25"/>
  <cols>
    <col min="7" max="7" width="0" hidden="1" customWidth="1"/>
  </cols>
  <sheetData>
    <row r="1" spans="1:12" x14ac:dyDescent="0.25">
      <c r="A1" s="263" t="s">
        <v>519</v>
      </c>
      <c r="B1" s="264"/>
      <c r="C1" s="264"/>
      <c r="D1" s="264"/>
      <c r="E1" s="264"/>
      <c r="F1" s="264"/>
      <c r="G1" s="264"/>
      <c r="H1" s="264"/>
      <c r="I1" s="1011" t="s">
        <v>520</v>
      </c>
      <c r="J1" s="1012"/>
      <c r="K1" s="1013"/>
      <c r="L1" s="265"/>
    </row>
    <row r="2" spans="1:12" x14ac:dyDescent="0.25">
      <c r="A2" s="266" t="s">
        <v>521</v>
      </c>
      <c r="B2" s="265"/>
      <c r="C2" s="267" t="s">
        <v>522</v>
      </c>
      <c r="D2" s="265"/>
      <c r="E2" s="265"/>
      <c r="F2" s="265"/>
      <c r="G2" s="265"/>
      <c r="H2" s="265" t="s">
        <v>523</v>
      </c>
      <c r="I2" s="1014"/>
      <c r="J2" s="1015"/>
      <c r="K2" s="1016"/>
      <c r="L2" s="265"/>
    </row>
    <row r="3" spans="1:12" ht="15.75" thickBot="1" x14ac:dyDescent="0.3">
      <c r="A3" s="268"/>
      <c r="B3" s="269"/>
      <c r="C3" s="269"/>
      <c r="D3" s="269"/>
      <c r="E3" s="269"/>
      <c r="F3" s="269"/>
      <c r="G3" s="269"/>
      <c r="H3" s="269"/>
      <c r="I3" s="1017"/>
      <c r="J3" s="1018"/>
      <c r="K3" s="1019"/>
      <c r="L3" s="265"/>
    </row>
    <row r="4" spans="1:12" x14ac:dyDescent="0.25">
      <c r="A4" s="265"/>
      <c r="B4" s="265"/>
      <c r="C4" s="265"/>
      <c r="D4" s="265"/>
      <c r="E4" s="265"/>
      <c r="F4" s="265"/>
      <c r="G4" s="265"/>
      <c r="H4" s="270"/>
      <c r="I4" s="265"/>
      <c r="J4" s="265"/>
      <c r="K4" s="265"/>
      <c r="L4" s="265"/>
    </row>
    <row r="5" spans="1:12" x14ac:dyDescent="0.25">
      <c r="A5" s="271"/>
      <c r="B5" s="272" t="s">
        <v>524</v>
      </c>
      <c r="C5" s="273"/>
      <c r="D5" s="273"/>
      <c r="E5" s="273"/>
      <c r="F5" s="273"/>
      <c r="G5" s="273"/>
      <c r="H5" s="273"/>
      <c r="I5" s="274"/>
      <c r="J5" s="270"/>
      <c r="K5" s="265"/>
      <c r="L5" s="265"/>
    </row>
    <row r="6" spans="1:12" ht="15.75" thickBot="1" x14ac:dyDescent="0.3">
      <c r="A6" s="275"/>
      <c r="B6" s="265"/>
      <c r="C6" s="265"/>
      <c r="D6" s="265"/>
      <c r="E6" s="265"/>
      <c r="F6" s="265"/>
      <c r="G6" s="265"/>
      <c r="H6" s="265"/>
      <c r="I6" s="276"/>
      <c r="J6" s="265"/>
      <c r="K6" s="265"/>
      <c r="L6" s="265"/>
    </row>
    <row r="7" spans="1:12" x14ac:dyDescent="0.25">
      <c r="A7" s="275"/>
      <c r="B7" s="1020" t="s">
        <v>525</v>
      </c>
      <c r="C7" s="1023" t="s">
        <v>526</v>
      </c>
      <c r="D7" s="1023" t="s">
        <v>527</v>
      </c>
      <c r="E7" s="1020" t="s">
        <v>528</v>
      </c>
      <c r="F7" s="1023" t="s">
        <v>529</v>
      </c>
      <c r="G7" s="277"/>
      <c r="H7" s="1020" t="s">
        <v>530</v>
      </c>
      <c r="I7" s="276"/>
      <c r="J7" s="265"/>
      <c r="K7" s="265"/>
      <c r="L7" s="265"/>
    </row>
    <row r="8" spans="1:12" x14ac:dyDescent="0.25">
      <c r="A8" s="275"/>
      <c r="B8" s="1021"/>
      <c r="C8" s="1024"/>
      <c r="D8" s="1026"/>
      <c r="E8" s="1021"/>
      <c r="F8" s="1026"/>
      <c r="G8" s="278"/>
      <c r="H8" s="1021"/>
      <c r="I8" s="276"/>
      <c r="J8" s="265"/>
      <c r="K8" s="265"/>
      <c r="L8" s="265"/>
    </row>
    <row r="9" spans="1:12" ht="15.75" thickBot="1" x14ac:dyDescent="0.3">
      <c r="A9" s="275"/>
      <c r="B9" s="1022"/>
      <c r="C9" s="1025"/>
      <c r="D9" s="1027"/>
      <c r="E9" s="1022"/>
      <c r="F9" s="1027"/>
      <c r="G9" s="279" t="s">
        <v>531</v>
      </c>
      <c r="H9" s="1022"/>
      <c r="I9" s="276"/>
      <c r="J9" s="265"/>
      <c r="K9" s="265"/>
      <c r="L9" s="265"/>
    </row>
    <row r="10" spans="1:12" ht="15.75" thickBot="1" x14ac:dyDescent="0.3">
      <c r="A10" s="275"/>
      <c r="B10" s="280"/>
      <c r="C10" s="281">
        <f ca="1">MATCH</f>
        <v>1.4400906108970521</v>
      </c>
      <c r="D10" s="282">
        <f ca="1">MINT*0.112943</f>
        <v>3.0453426464479998E-2</v>
      </c>
      <c r="E10" s="283">
        <f ca="1">(D10+(C10*D10))</f>
        <v>7.4309119985621452E-2</v>
      </c>
      <c r="F10" s="284">
        <f ca="1">RPM</f>
        <v>1499.9999999999998</v>
      </c>
      <c r="G10" s="285" t="e">
        <f ca="1">((C10*D10)+D10)*(F10*2*PI()/60/#REF!)*F10/63025*746*#REF!</f>
        <v>#REF!</v>
      </c>
      <c r="H10" s="285">
        <f ca="1">(Tint*(RPM^2))/182</f>
        <v>918.65670311894633</v>
      </c>
      <c r="I10" s="276"/>
      <c r="J10" s="265"/>
      <c r="K10" s="265"/>
      <c r="L10" s="265"/>
    </row>
    <row r="11" spans="1:12" x14ac:dyDescent="0.25">
      <c r="A11" s="286"/>
      <c r="B11" s="287"/>
      <c r="C11" s="287"/>
      <c r="D11" s="288"/>
      <c r="E11" s="289"/>
      <c r="F11" s="287"/>
      <c r="G11" s="290"/>
      <c r="H11" s="290"/>
      <c r="I11" s="291"/>
      <c r="J11" s="265"/>
      <c r="K11" s="265"/>
      <c r="L11" s="265"/>
    </row>
    <row r="12" spans="1:12" x14ac:dyDescent="0.25">
      <c r="A12" s="292"/>
      <c r="B12" s="272" t="s">
        <v>532</v>
      </c>
      <c r="C12" s="273"/>
      <c r="D12" s="273"/>
      <c r="E12" s="273"/>
      <c r="F12" s="273"/>
      <c r="G12" s="273"/>
      <c r="H12" s="274"/>
      <c r="I12" s="265"/>
      <c r="J12" s="265"/>
      <c r="K12" s="265"/>
      <c r="L12" s="265"/>
    </row>
    <row r="13" spans="1:12" ht="15.75" thickBot="1" x14ac:dyDescent="0.3">
      <c r="A13" s="275"/>
      <c r="B13" s="265"/>
      <c r="C13" s="265"/>
      <c r="D13" s="265"/>
      <c r="E13" s="265"/>
      <c r="F13" s="265"/>
      <c r="G13" s="265"/>
      <c r="H13" s="276"/>
      <c r="I13" s="265"/>
      <c r="J13" s="265"/>
      <c r="K13" s="265"/>
      <c r="L13" s="265"/>
    </row>
    <row r="14" spans="1:12" ht="15.75" thickBot="1" x14ac:dyDescent="0.3">
      <c r="A14" s="293"/>
      <c r="B14" s="1033" t="s">
        <v>533</v>
      </c>
      <c r="C14" s="1033" t="s">
        <v>534</v>
      </c>
      <c r="D14" s="1020" t="s">
        <v>535</v>
      </c>
      <c r="E14" s="265"/>
      <c r="F14" s="265"/>
      <c r="G14" s="265"/>
      <c r="H14" s="276"/>
      <c r="I14" s="294" t="s">
        <v>536</v>
      </c>
      <c r="J14" s="295" t="s">
        <v>537</v>
      </c>
      <c r="K14" s="295"/>
      <c r="L14" s="295"/>
    </row>
    <row r="15" spans="1:12" ht="15.75" thickBot="1" x14ac:dyDescent="0.3">
      <c r="A15" s="296"/>
      <c r="B15" s="1033"/>
      <c r="C15" s="1033"/>
      <c r="D15" s="1021"/>
      <c r="E15" s="265"/>
      <c r="F15" s="265"/>
      <c r="G15" s="265"/>
      <c r="H15" s="276"/>
      <c r="I15" s="265"/>
      <c r="J15" s="295" t="s">
        <v>538</v>
      </c>
      <c r="K15" s="295"/>
      <c r="L15" s="295"/>
    </row>
    <row r="16" spans="1:12" ht="15.75" thickBot="1" x14ac:dyDescent="0.3">
      <c r="A16" s="297"/>
      <c r="B16" s="1033"/>
      <c r="C16" s="1033"/>
      <c r="D16" s="1022"/>
      <c r="E16" s="265"/>
      <c r="F16" s="298" t="s">
        <v>539</v>
      </c>
      <c r="G16" s="299"/>
      <c r="H16" s="300"/>
      <c r="I16" s="265"/>
      <c r="J16" s="295" t="s">
        <v>540</v>
      </c>
      <c r="K16" s="295"/>
      <c r="L16" s="295"/>
    </row>
    <row r="17" spans="1:12" ht="15.75" thickBot="1" x14ac:dyDescent="0.3">
      <c r="A17" s="296"/>
      <c r="B17" s="301">
        <f ca="1">ACCTM</f>
        <v>0.18849744418982947</v>
      </c>
      <c r="C17" s="302">
        <f ca="1">VLOOKUP(MODEL,LookupSigma5Feed,18)</f>
        <v>260</v>
      </c>
      <c r="D17" s="303">
        <f ca="1" xml:space="preserve"> DecTm*LostWatts</f>
        <v>49.009335489355664</v>
      </c>
      <c r="E17" s="265"/>
      <c r="F17" s="265"/>
      <c r="G17" s="265"/>
      <c r="H17" s="276"/>
      <c r="I17" s="265"/>
      <c r="J17" s="295" t="s">
        <v>541</v>
      </c>
      <c r="K17" s="295"/>
      <c r="L17" s="295"/>
    </row>
    <row r="18" spans="1:12" x14ac:dyDescent="0.25">
      <c r="A18" s="286"/>
      <c r="B18" s="304"/>
      <c r="C18" s="305"/>
      <c r="D18" s="305"/>
      <c r="E18" s="305"/>
      <c r="F18" s="305"/>
      <c r="G18" s="305"/>
      <c r="H18" s="291"/>
      <c r="I18" s="265"/>
      <c r="J18" s="265"/>
      <c r="K18" s="265"/>
      <c r="L18" s="265"/>
    </row>
    <row r="19" spans="1:12" x14ac:dyDescent="0.25">
      <c r="A19" s="292"/>
      <c r="B19" s="272" t="s">
        <v>542</v>
      </c>
      <c r="C19" s="273"/>
      <c r="D19" s="306"/>
      <c r="E19" s="273"/>
      <c r="F19" s="274"/>
      <c r="G19" s="265"/>
      <c r="H19" s="265"/>
      <c r="I19" s="265"/>
      <c r="J19" s="265"/>
      <c r="K19" s="265"/>
      <c r="L19" s="265"/>
    </row>
    <row r="20" spans="1:12" ht="15.75" thickBot="1" x14ac:dyDescent="0.3">
      <c r="A20" s="275"/>
      <c r="B20" s="307"/>
      <c r="C20" s="265"/>
      <c r="D20" s="308"/>
      <c r="E20" s="265"/>
      <c r="F20" s="276"/>
      <c r="G20" s="265"/>
      <c r="H20" s="265"/>
      <c r="I20" s="265"/>
      <c r="J20" s="265"/>
      <c r="K20" s="265"/>
      <c r="L20" s="265"/>
    </row>
    <row r="21" spans="1:12" x14ac:dyDescent="0.25">
      <c r="A21" s="275"/>
      <c r="B21" s="1023" t="s">
        <v>543</v>
      </c>
      <c r="C21" s="265"/>
      <c r="D21" s="308"/>
      <c r="E21" s="265"/>
      <c r="F21" s="276"/>
      <c r="G21" s="265"/>
      <c r="H21" s="265"/>
      <c r="I21" s="265"/>
      <c r="J21" s="265"/>
      <c r="K21" s="265"/>
      <c r="L21" s="265"/>
    </row>
    <row r="22" spans="1:12" x14ac:dyDescent="0.25">
      <c r="A22" s="275"/>
      <c r="B22" s="1034"/>
      <c r="C22" s="265"/>
      <c r="D22" s="309" t="s">
        <v>544</v>
      </c>
      <c r="E22" s="295" t="s">
        <v>545</v>
      </c>
      <c r="F22" s="310"/>
      <c r="G22" s="265"/>
      <c r="H22" s="265"/>
      <c r="I22" s="265"/>
      <c r="J22" s="265"/>
      <c r="K22" s="265"/>
      <c r="L22" s="265"/>
    </row>
    <row r="23" spans="1:12" x14ac:dyDescent="0.25">
      <c r="A23" s="275"/>
      <c r="B23" s="1034"/>
      <c r="C23" s="265"/>
      <c r="D23" s="308"/>
      <c r="E23" s="295" t="s">
        <v>546</v>
      </c>
      <c r="F23" s="310"/>
      <c r="G23" s="265"/>
      <c r="H23" s="265"/>
      <c r="I23" s="265"/>
      <c r="J23" s="265"/>
      <c r="K23" s="265"/>
      <c r="L23" s="265"/>
    </row>
    <row r="24" spans="1:12" ht="15.75" thickBot="1" x14ac:dyDescent="0.3">
      <c r="A24" s="275"/>
      <c r="B24" s="1035"/>
      <c r="C24" s="265"/>
      <c r="D24" s="308"/>
      <c r="E24" s="265"/>
      <c r="F24" s="276"/>
      <c r="G24" s="265"/>
      <c r="H24" s="265"/>
      <c r="I24" s="265"/>
      <c r="J24" s="265"/>
      <c r="K24" s="265"/>
      <c r="L24" s="265"/>
    </row>
    <row r="25" spans="1:12" ht="15.75" thickBot="1" x14ac:dyDescent="0.3">
      <c r="A25" s="293"/>
      <c r="B25" s="311">
        <f ca="1">VLOOKUP(MODEL,LookupSigma5Feed,17)</f>
        <v>235</v>
      </c>
      <c r="C25" s="265"/>
      <c r="E25" s="265"/>
      <c r="F25" s="312"/>
      <c r="G25" s="265"/>
      <c r="H25" s="265"/>
      <c r="I25" s="265"/>
      <c r="J25" s="265"/>
      <c r="K25" s="265"/>
      <c r="L25" s="265"/>
    </row>
    <row r="26" spans="1:12" x14ac:dyDescent="0.25">
      <c r="A26" s="286"/>
      <c r="B26" s="313"/>
      <c r="C26" s="305"/>
      <c r="D26" s="314"/>
      <c r="E26" s="305"/>
      <c r="F26" s="315"/>
      <c r="G26" s="265"/>
      <c r="H26" s="265"/>
      <c r="I26" s="265"/>
      <c r="J26" s="265"/>
      <c r="K26" s="265"/>
      <c r="L26" s="265"/>
    </row>
    <row r="27" spans="1:12" x14ac:dyDescent="0.25">
      <c r="A27" s="271"/>
      <c r="B27" s="272" t="s">
        <v>547</v>
      </c>
      <c r="C27" s="316" t="s">
        <v>548</v>
      </c>
      <c r="D27" s="1036" t="s">
        <v>549</v>
      </c>
      <c r="E27" s="1036"/>
      <c r="F27" s="317" t="s">
        <v>550</v>
      </c>
      <c r="G27" s="273"/>
      <c r="H27" s="274" t="s">
        <v>551</v>
      </c>
      <c r="I27" s="265"/>
      <c r="J27" s="265"/>
      <c r="K27" s="265"/>
      <c r="L27" s="265"/>
    </row>
    <row r="28" spans="1:12" x14ac:dyDescent="0.25">
      <c r="A28" s="296"/>
      <c r="B28" s="265"/>
      <c r="C28" s="265"/>
      <c r="D28" s="1030"/>
      <c r="E28" s="1030"/>
      <c r="F28" s="265"/>
      <c r="G28" s="265"/>
      <c r="H28" s="276"/>
      <c r="I28" s="265"/>
      <c r="J28" s="265"/>
      <c r="K28" s="265"/>
      <c r="L28" s="265"/>
    </row>
    <row r="29" spans="1:12" x14ac:dyDescent="0.25">
      <c r="A29" s="275"/>
      <c r="B29" s="265"/>
      <c r="C29" s="318" t="s">
        <v>552</v>
      </c>
      <c r="D29" s="1028">
        <f ca="1">Es</f>
        <v>918.65670311894633</v>
      </c>
      <c r="E29" s="1028"/>
      <c r="F29" s="319">
        <f ca="1">Em</f>
        <v>49.009335489355664</v>
      </c>
      <c r="G29" s="319"/>
      <c r="H29" s="320">
        <f ca="1">Ec</f>
        <v>235</v>
      </c>
      <c r="I29" s="265"/>
      <c r="J29" s="265"/>
      <c r="K29" s="265"/>
      <c r="L29" s="265"/>
    </row>
    <row r="30" spans="1:12" x14ac:dyDescent="0.25">
      <c r="A30" s="321"/>
      <c r="B30" s="305"/>
      <c r="C30" s="322" t="s">
        <v>552</v>
      </c>
      <c r="D30" s="1029">
        <f ca="1">Es-(Em+Ec)</f>
        <v>634.64736762959069</v>
      </c>
      <c r="E30" s="1029"/>
      <c r="F30" s="323" t="s">
        <v>553</v>
      </c>
      <c r="G30" s="305"/>
      <c r="H30" s="291"/>
      <c r="I30" s="265"/>
      <c r="J30" s="265"/>
      <c r="K30" s="265"/>
      <c r="L30" s="265"/>
    </row>
    <row r="31" spans="1:12" x14ac:dyDescent="0.25">
      <c r="A31" s="305"/>
      <c r="B31" s="1030"/>
      <c r="C31" s="1030"/>
      <c r="D31" s="1030"/>
      <c r="E31" s="1030"/>
      <c r="F31" s="1030"/>
      <c r="G31" s="1030"/>
      <c r="H31" s="1030"/>
      <c r="I31" s="265"/>
      <c r="J31" s="265"/>
      <c r="K31" s="265"/>
      <c r="L31" s="265"/>
    </row>
    <row r="32" spans="1:12" ht="15.75" thickBot="1" x14ac:dyDescent="0.3">
      <c r="A32" s="292"/>
      <c r="B32" s="316" t="s">
        <v>554</v>
      </c>
      <c r="C32" s="316"/>
      <c r="D32" s="324" t="s">
        <v>555</v>
      </c>
      <c r="E32" s="325"/>
      <c r="F32" s="326"/>
      <c r="G32" s="327"/>
      <c r="H32" s="265"/>
      <c r="I32" s="265"/>
      <c r="J32" s="265"/>
      <c r="K32" s="265"/>
      <c r="L32" s="265"/>
    </row>
    <row r="33" spans="1:12" ht="15.75" thickBot="1" x14ac:dyDescent="0.3">
      <c r="A33" s="275"/>
      <c r="B33" s="1031" t="s">
        <v>556</v>
      </c>
      <c r="C33" s="328"/>
      <c r="D33" s="265" t="s">
        <v>557</v>
      </c>
      <c r="E33" s="329" t="s">
        <v>558</v>
      </c>
      <c r="F33" s="330">
        <f ca="1">Ek/T</f>
        <v>770.2126719649425</v>
      </c>
      <c r="G33" s="331" t="s">
        <v>459</v>
      </c>
      <c r="H33" s="265"/>
      <c r="I33" s="299" t="s">
        <v>559</v>
      </c>
      <c r="J33" s="299" t="s">
        <v>560</v>
      </c>
      <c r="K33" s="299"/>
      <c r="L33" s="265"/>
    </row>
    <row r="34" spans="1:12" ht="15.75" thickBot="1" x14ac:dyDescent="0.3">
      <c r="A34" s="293"/>
      <c r="B34" s="1031"/>
      <c r="C34" s="328"/>
      <c r="D34" s="265" t="s">
        <v>561</v>
      </c>
      <c r="E34" s="265"/>
      <c r="F34" s="276"/>
      <c r="G34" s="276"/>
      <c r="H34" s="265"/>
      <c r="I34" s="265"/>
      <c r="J34" s="299" t="s">
        <v>562</v>
      </c>
      <c r="K34" s="265"/>
      <c r="L34" s="265"/>
    </row>
    <row r="35" spans="1:12" ht="15.75" thickBot="1" x14ac:dyDescent="0.3">
      <c r="A35" s="296"/>
      <c r="B35" s="1032"/>
      <c r="C35" s="332"/>
      <c r="D35" s="265"/>
      <c r="E35" s="265"/>
      <c r="F35" s="276"/>
      <c r="G35" s="276"/>
      <c r="H35" s="265"/>
      <c r="I35" s="265"/>
      <c r="J35" s="265"/>
      <c r="K35" s="265"/>
      <c r="L35" s="265"/>
    </row>
    <row r="36" spans="1:12" ht="15.75" thickBot="1" x14ac:dyDescent="0.3">
      <c r="A36" s="297"/>
      <c r="B36" s="301">
        <f ca="1">CYCTM</f>
        <v>0.82398977675931784</v>
      </c>
      <c r="C36" s="332"/>
      <c r="D36" s="333" t="s">
        <v>563</v>
      </c>
      <c r="E36" s="329"/>
      <c r="F36" s="334"/>
      <c r="G36" s="276"/>
      <c r="H36" s="265"/>
      <c r="I36" s="265"/>
      <c r="J36" s="265"/>
      <c r="K36" s="265"/>
      <c r="L36" s="265"/>
    </row>
    <row r="37" spans="1:12" x14ac:dyDescent="0.25">
      <c r="A37" s="296"/>
      <c r="B37" s="335"/>
      <c r="C37" s="265"/>
      <c r="D37" s="336"/>
      <c r="E37" s="329" t="s">
        <v>564</v>
      </c>
      <c r="F37" s="330">
        <f ca="1">(Ek)/(0.2*T)</f>
        <v>3851.0633598247123</v>
      </c>
      <c r="G37" s="276" t="s">
        <v>565</v>
      </c>
      <c r="H37" s="265"/>
      <c r="I37" s="265"/>
      <c r="J37" s="265"/>
      <c r="K37" s="265"/>
      <c r="L37" s="265"/>
    </row>
    <row r="41" spans="1:12" x14ac:dyDescent="0.25">
      <c r="A41" s="600" t="s">
        <v>403</v>
      </c>
      <c r="B41" s="600"/>
      <c r="C41" s="600"/>
      <c r="D41" s="600" t="s">
        <v>825</v>
      </c>
      <c r="E41" s="600"/>
    </row>
    <row r="42" spans="1:12" x14ac:dyDescent="0.25">
      <c r="A42" s="600" t="s">
        <v>908</v>
      </c>
      <c r="B42" s="600">
        <f ca="1">INDIRECT("'" &amp; A$41 &amp; "'!" &amp; A42)</f>
        <v>0.18849744418982947</v>
      </c>
      <c r="C42" s="600"/>
      <c r="D42" s="600" t="s">
        <v>466</v>
      </c>
      <c r="E42" s="600">
        <f ca="1">INDIRECT("'" &amp; D$41 &amp; "'!" &amp; D42)</f>
        <v>1.4400906108970521</v>
      </c>
    </row>
    <row r="43" spans="1:12" x14ac:dyDescent="0.25">
      <c r="A43" s="600" t="s">
        <v>915</v>
      </c>
      <c r="B43" s="600">
        <f ca="1">INDIRECT("'" &amp; A$41 &amp; "'!" &amp; A43)</f>
        <v>0.82398977675931784</v>
      </c>
      <c r="C43" s="600"/>
      <c r="D43" s="600" t="s">
        <v>930</v>
      </c>
      <c r="E43" s="600">
        <f ca="1">INDIRECT("'" &amp; D$41 &amp; "'!" &amp; D43)</f>
        <v>0.26963535999999999</v>
      </c>
    </row>
    <row r="44" spans="1:12" x14ac:dyDescent="0.25">
      <c r="A44" s="600"/>
      <c r="B44" s="600"/>
      <c r="C44" s="600"/>
      <c r="D44" s="600" t="s">
        <v>985</v>
      </c>
      <c r="E44" s="600" t="str">
        <f ca="1">INDIRECT("'" &amp; D$41 &amp; "'!" &amp; D44)</f>
        <v>CPRF-S8</v>
      </c>
    </row>
    <row r="45" spans="1:12" x14ac:dyDescent="0.25">
      <c r="A45" s="600"/>
      <c r="B45" s="600"/>
      <c r="C45" s="600"/>
      <c r="D45" s="600" t="s">
        <v>517</v>
      </c>
      <c r="E45" s="600">
        <f ca="1">INDIRECT("'" &amp; D$41 &amp; "'!" &amp; D45)</f>
        <v>1499.9999999999998</v>
      </c>
    </row>
  </sheetData>
  <mergeCells count="17">
    <mergeCell ref="D29:E29"/>
    <mergeCell ref="D30:E30"/>
    <mergeCell ref="B31:H31"/>
    <mergeCell ref="B33:B35"/>
    <mergeCell ref="B14:B16"/>
    <mergeCell ref="C14:C16"/>
    <mergeCell ref="D14:D16"/>
    <mergeCell ref="B21:B24"/>
    <mergeCell ref="D27:E27"/>
    <mergeCell ref="D28:E28"/>
    <mergeCell ref="I1:K3"/>
    <mergeCell ref="B7:B9"/>
    <mergeCell ref="C7:C9"/>
    <mergeCell ref="D7:D9"/>
    <mergeCell ref="E7:E9"/>
    <mergeCell ref="F7:F9"/>
    <mergeCell ref="H7:H9"/>
  </mergeCells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118B6-8D50-4E4E-BF76-3BACDD043823}">
  <sheetPr codeName="Sheet18">
    <tabColor rgb="FFFF0000"/>
  </sheetPr>
  <dimension ref="A2:EA54"/>
  <sheetViews>
    <sheetView topLeftCell="A31" zoomScaleNormal="100" workbookViewId="0">
      <selection activeCell="F37" sqref="F37"/>
    </sheetView>
  </sheetViews>
  <sheetFormatPr defaultRowHeight="15" x14ac:dyDescent="0.25"/>
  <cols>
    <col min="1" max="1" width="17.140625" customWidth="1"/>
    <col min="2" max="2" width="10" bestFit="1" customWidth="1"/>
    <col min="4" max="4" width="10.28515625" bestFit="1" customWidth="1"/>
    <col min="10" max="10" width="10.42578125" customWidth="1"/>
    <col min="13" max="13" width="10" bestFit="1" customWidth="1"/>
    <col min="15" max="15" width="10" customWidth="1"/>
    <col min="21" max="21" width="10.42578125" customWidth="1"/>
    <col min="24" max="24" width="10" bestFit="1" customWidth="1"/>
    <col min="26" max="26" width="11" customWidth="1"/>
    <col min="32" max="32" width="10.85546875" customWidth="1"/>
    <col min="35" max="35" width="9.85546875" customWidth="1"/>
    <col min="37" max="37" width="10.140625" customWidth="1"/>
    <col min="43" max="43" width="10.5703125" customWidth="1"/>
    <col min="46" max="46" width="10" customWidth="1"/>
    <col min="48" max="48" width="11.140625" customWidth="1"/>
    <col min="54" max="54" width="10.5703125" customWidth="1"/>
    <col min="56" max="56" width="10.5703125" customWidth="1"/>
    <col min="57" max="57" width="10.7109375" customWidth="1"/>
    <col min="59" max="59" width="10.140625" customWidth="1"/>
    <col min="65" max="65" width="11.140625" customWidth="1"/>
    <col min="68" max="68" width="11.5703125" customWidth="1"/>
    <col min="70" max="70" width="11.140625" customWidth="1"/>
    <col min="76" max="76" width="10.5703125" customWidth="1"/>
    <col min="79" max="79" width="10.5703125" customWidth="1"/>
    <col min="81" max="81" width="11.42578125" customWidth="1"/>
    <col min="87" max="87" width="10.140625" customWidth="1"/>
    <col min="90" max="90" width="11" customWidth="1"/>
    <col min="91" max="91" width="10.42578125" customWidth="1"/>
    <col min="92" max="92" width="10.28515625" customWidth="1"/>
    <col min="98" max="98" width="10.7109375" customWidth="1"/>
    <col min="101" max="101" width="10.85546875" customWidth="1"/>
    <col min="106" max="106" width="10.42578125" customWidth="1"/>
    <col min="109" max="109" width="10.5703125" customWidth="1"/>
    <col min="112" max="112" width="12.28515625" customWidth="1"/>
    <col min="117" max="117" width="10.28515625" customWidth="1"/>
    <col min="119" max="119" width="10" customWidth="1"/>
    <col min="120" max="120" width="11.5703125" customWidth="1"/>
    <col min="123" max="123" width="11.140625" customWidth="1"/>
    <col min="128" max="128" width="12.7109375" customWidth="1"/>
    <col min="129" max="129" width="10.85546875" customWidth="1"/>
    <col min="130" max="131" width="11.140625" customWidth="1"/>
  </cols>
  <sheetData>
    <row r="2" spans="1:131" x14ac:dyDescent="0.25">
      <c r="A2" t="s">
        <v>566</v>
      </c>
      <c r="L2" t="s">
        <v>492</v>
      </c>
      <c r="W2" t="s">
        <v>496</v>
      </c>
      <c r="AH2" t="s">
        <v>567</v>
      </c>
      <c r="AS2" t="s">
        <v>500</v>
      </c>
      <c r="BD2" t="s">
        <v>568</v>
      </c>
      <c r="BO2" t="s">
        <v>504</v>
      </c>
      <c r="BZ2" t="s">
        <v>569</v>
      </c>
      <c r="CK2" t="s">
        <v>507</v>
      </c>
      <c r="CV2" t="s">
        <v>510</v>
      </c>
      <c r="DG2" t="s">
        <v>511</v>
      </c>
      <c r="DR2" t="s">
        <v>514</v>
      </c>
    </row>
    <row r="4" spans="1:131" ht="15.75" x14ac:dyDescent="0.25">
      <c r="A4" s="248"/>
      <c r="B4" s="338" t="s">
        <v>570</v>
      </c>
      <c r="C4" s="338" t="s">
        <v>571</v>
      </c>
      <c r="D4" s="338" t="s">
        <v>572</v>
      </c>
      <c r="E4" s="338" t="s">
        <v>573</v>
      </c>
      <c r="F4" s="338" t="s">
        <v>574</v>
      </c>
      <c r="G4" s="338" t="s">
        <v>575</v>
      </c>
      <c r="H4" s="338" t="s">
        <v>576</v>
      </c>
      <c r="I4" s="338" t="s">
        <v>103</v>
      </c>
      <c r="J4" s="338" t="s">
        <v>577</v>
      </c>
      <c r="L4" s="248"/>
      <c r="M4" s="338" t="s">
        <v>570</v>
      </c>
      <c r="N4" s="338" t="s">
        <v>571</v>
      </c>
      <c r="O4" s="338" t="s">
        <v>572</v>
      </c>
      <c r="P4" s="338" t="s">
        <v>573</v>
      </c>
      <c r="Q4" s="338" t="s">
        <v>574</v>
      </c>
      <c r="R4" s="338" t="s">
        <v>575</v>
      </c>
      <c r="S4" s="338" t="s">
        <v>576</v>
      </c>
      <c r="T4" s="338" t="s">
        <v>103</v>
      </c>
      <c r="U4" s="338" t="s">
        <v>577</v>
      </c>
      <c r="W4" s="248"/>
      <c r="X4" s="338" t="s">
        <v>570</v>
      </c>
      <c r="Y4" s="338" t="s">
        <v>571</v>
      </c>
      <c r="Z4" s="338" t="s">
        <v>572</v>
      </c>
      <c r="AA4" s="338" t="s">
        <v>573</v>
      </c>
      <c r="AB4" s="338" t="s">
        <v>574</v>
      </c>
      <c r="AC4" s="338" t="s">
        <v>575</v>
      </c>
      <c r="AD4" s="338" t="s">
        <v>576</v>
      </c>
      <c r="AE4" s="338" t="s">
        <v>103</v>
      </c>
      <c r="AF4" s="338" t="s">
        <v>577</v>
      </c>
      <c r="AH4" s="248"/>
      <c r="AI4" s="338" t="s">
        <v>570</v>
      </c>
      <c r="AJ4" s="338" t="s">
        <v>571</v>
      </c>
      <c r="AK4" s="338" t="s">
        <v>572</v>
      </c>
      <c r="AL4" s="338" t="s">
        <v>573</v>
      </c>
      <c r="AM4" s="338" t="s">
        <v>574</v>
      </c>
      <c r="AN4" s="338" t="s">
        <v>575</v>
      </c>
      <c r="AO4" s="338" t="s">
        <v>576</v>
      </c>
      <c r="AP4" s="338" t="s">
        <v>103</v>
      </c>
      <c r="AQ4" s="338" t="s">
        <v>577</v>
      </c>
      <c r="AS4" s="248"/>
      <c r="AT4" s="338" t="s">
        <v>570</v>
      </c>
      <c r="AU4" s="338" t="s">
        <v>571</v>
      </c>
      <c r="AV4" s="338" t="s">
        <v>572</v>
      </c>
      <c r="AW4" s="338" t="s">
        <v>573</v>
      </c>
      <c r="AX4" s="338" t="s">
        <v>574</v>
      </c>
      <c r="AY4" s="338" t="s">
        <v>575</v>
      </c>
      <c r="AZ4" s="338" t="s">
        <v>576</v>
      </c>
      <c r="BA4" s="338" t="s">
        <v>103</v>
      </c>
      <c r="BB4" s="338" t="s">
        <v>577</v>
      </c>
      <c r="BD4" s="248"/>
      <c r="BE4" s="338" t="s">
        <v>570</v>
      </c>
      <c r="BF4" s="338" t="s">
        <v>571</v>
      </c>
      <c r="BG4" s="338" t="s">
        <v>572</v>
      </c>
      <c r="BH4" s="338" t="s">
        <v>573</v>
      </c>
      <c r="BI4" s="338" t="s">
        <v>574</v>
      </c>
      <c r="BJ4" s="338" t="s">
        <v>575</v>
      </c>
      <c r="BK4" s="338" t="s">
        <v>576</v>
      </c>
      <c r="BL4" s="338" t="s">
        <v>103</v>
      </c>
      <c r="BM4" s="338" t="s">
        <v>577</v>
      </c>
      <c r="BO4" s="245"/>
      <c r="BP4" s="338" t="s">
        <v>570</v>
      </c>
      <c r="BQ4" s="338" t="s">
        <v>571</v>
      </c>
      <c r="BR4" s="338" t="s">
        <v>572</v>
      </c>
      <c r="BS4" s="338" t="s">
        <v>573</v>
      </c>
      <c r="BT4" s="338" t="s">
        <v>574</v>
      </c>
      <c r="BU4" s="338" t="s">
        <v>575</v>
      </c>
      <c r="BV4" s="338" t="s">
        <v>576</v>
      </c>
      <c r="BW4" s="338" t="s">
        <v>103</v>
      </c>
      <c r="BX4" s="338" t="s">
        <v>577</v>
      </c>
      <c r="BZ4" s="245"/>
      <c r="CA4" s="338" t="s">
        <v>570</v>
      </c>
      <c r="CB4" s="338" t="s">
        <v>571</v>
      </c>
      <c r="CC4" s="338" t="s">
        <v>572</v>
      </c>
      <c r="CD4" s="338" t="s">
        <v>573</v>
      </c>
      <c r="CE4" s="338" t="s">
        <v>574</v>
      </c>
      <c r="CF4" s="338" t="s">
        <v>575</v>
      </c>
      <c r="CG4" s="338" t="s">
        <v>576</v>
      </c>
      <c r="CH4" s="338" t="s">
        <v>103</v>
      </c>
      <c r="CI4" s="338" t="s">
        <v>577</v>
      </c>
      <c r="CK4" s="248"/>
      <c r="CL4" s="338" t="s">
        <v>570</v>
      </c>
      <c r="CM4" s="338" t="s">
        <v>571</v>
      </c>
      <c r="CN4" s="338" t="s">
        <v>572</v>
      </c>
      <c r="CO4" s="338" t="s">
        <v>573</v>
      </c>
      <c r="CP4" s="338" t="s">
        <v>574</v>
      </c>
      <c r="CQ4" s="338" t="s">
        <v>575</v>
      </c>
      <c r="CR4" s="338" t="s">
        <v>576</v>
      </c>
      <c r="CS4" s="338" t="s">
        <v>103</v>
      </c>
      <c r="CT4" s="338" t="s">
        <v>577</v>
      </c>
      <c r="CV4" s="248"/>
      <c r="CW4" s="338" t="s">
        <v>570</v>
      </c>
      <c r="CX4" s="338" t="s">
        <v>571</v>
      </c>
      <c r="CY4" s="338" t="s">
        <v>572</v>
      </c>
      <c r="CZ4" s="338" t="s">
        <v>573</v>
      </c>
      <c r="DA4" s="338" t="s">
        <v>574</v>
      </c>
      <c r="DB4" s="337" t="s">
        <v>575</v>
      </c>
      <c r="DC4" s="338" t="s">
        <v>576</v>
      </c>
      <c r="DD4" s="338" t="s">
        <v>103</v>
      </c>
      <c r="DE4" s="338" t="s">
        <v>577</v>
      </c>
      <c r="DG4" s="248"/>
      <c r="DH4" s="338" t="s">
        <v>570</v>
      </c>
      <c r="DI4" s="338" t="s">
        <v>571</v>
      </c>
      <c r="DJ4" s="338" t="s">
        <v>572</v>
      </c>
      <c r="DK4" s="338" t="s">
        <v>573</v>
      </c>
      <c r="DL4" s="338" t="s">
        <v>574</v>
      </c>
      <c r="DM4" s="337" t="s">
        <v>575</v>
      </c>
      <c r="DN4" s="338" t="s">
        <v>576</v>
      </c>
      <c r="DO4" s="338" t="s">
        <v>103</v>
      </c>
      <c r="DP4" s="338" t="s">
        <v>577</v>
      </c>
      <c r="DR4" s="248"/>
      <c r="DS4" s="338" t="s">
        <v>570</v>
      </c>
      <c r="DT4" s="338" t="s">
        <v>571</v>
      </c>
      <c r="DU4" s="338" t="s">
        <v>572</v>
      </c>
      <c r="DV4" s="338" t="s">
        <v>573</v>
      </c>
      <c r="DW4" s="338" t="s">
        <v>574</v>
      </c>
      <c r="DX4" s="337" t="s">
        <v>575</v>
      </c>
      <c r="DY4" s="338" t="s">
        <v>576</v>
      </c>
      <c r="DZ4" s="338" t="s">
        <v>103</v>
      </c>
      <c r="EA4" s="338" t="s">
        <v>577</v>
      </c>
    </row>
    <row r="5" spans="1:131" ht="15.75" x14ac:dyDescent="0.25">
      <c r="A5" s="248"/>
      <c r="B5" s="245"/>
      <c r="C5" s="245"/>
      <c r="D5" s="245"/>
      <c r="E5" s="245"/>
      <c r="F5" s="245"/>
      <c r="G5" s="245"/>
      <c r="H5" s="245"/>
      <c r="I5" s="245"/>
      <c r="J5" s="245"/>
      <c r="L5" s="248"/>
      <c r="M5" s="245"/>
      <c r="N5" s="245"/>
      <c r="O5" s="245"/>
      <c r="P5" s="245"/>
      <c r="Q5" s="245"/>
      <c r="R5" s="245"/>
      <c r="S5" s="245"/>
      <c r="T5" s="245"/>
      <c r="U5" s="245"/>
      <c r="W5" s="248"/>
      <c r="X5" s="245"/>
      <c r="Y5" s="245"/>
      <c r="Z5" s="245"/>
      <c r="AA5" s="245"/>
      <c r="AB5" s="245"/>
      <c r="AC5" s="245"/>
      <c r="AD5" s="245"/>
      <c r="AE5" s="245"/>
      <c r="AF5" s="245"/>
      <c r="AH5" s="248"/>
      <c r="AI5" s="245"/>
      <c r="AJ5" s="245"/>
      <c r="AK5" s="245"/>
      <c r="AL5" s="245"/>
      <c r="AM5" s="245"/>
      <c r="AN5" s="245"/>
      <c r="AO5" s="245"/>
      <c r="AP5" s="245"/>
      <c r="AQ5" s="245"/>
      <c r="AS5" s="248"/>
      <c r="AT5" s="245"/>
      <c r="AU5" s="245"/>
      <c r="AV5" s="245"/>
      <c r="AW5" s="245"/>
      <c r="AX5" s="245"/>
      <c r="AY5" s="245"/>
      <c r="AZ5" s="245"/>
      <c r="BA5" s="245"/>
      <c r="BB5" s="245"/>
      <c r="BD5" s="248"/>
      <c r="BE5" s="245"/>
      <c r="BF5" s="245"/>
      <c r="BG5" s="245"/>
      <c r="BH5" s="245"/>
      <c r="BI5" s="245"/>
      <c r="BJ5" s="245"/>
      <c r="BK5" s="245"/>
      <c r="BL5" s="245"/>
      <c r="BM5" s="245"/>
      <c r="BO5" s="245"/>
      <c r="BP5" s="245"/>
      <c r="BQ5" s="245"/>
      <c r="BR5" s="245"/>
      <c r="BS5" s="245"/>
      <c r="BT5" s="245"/>
      <c r="BU5" s="245"/>
      <c r="BV5" s="245"/>
      <c r="BW5" s="245"/>
      <c r="BX5" s="245"/>
      <c r="BZ5" s="245"/>
      <c r="CA5" s="245"/>
      <c r="CB5" s="245"/>
      <c r="CC5" s="245"/>
      <c r="CD5" s="245"/>
      <c r="CE5" s="245"/>
      <c r="CF5" s="245"/>
      <c r="CG5" s="245"/>
      <c r="CH5" s="245"/>
      <c r="CI5" s="245"/>
      <c r="CK5" s="248"/>
      <c r="CL5" s="245"/>
      <c r="CM5" s="245"/>
      <c r="CN5" s="245"/>
      <c r="CO5" s="245"/>
      <c r="CP5" s="245"/>
      <c r="CQ5" s="245"/>
      <c r="CR5" s="245"/>
      <c r="CS5" s="245"/>
      <c r="CT5" s="245"/>
      <c r="CV5" s="248"/>
      <c r="CW5" s="245"/>
      <c r="CX5" s="245"/>
      <c r="CY5" s="245"/>
      <c r="CZ5" s="245"/>
      <c r="DA5" s="245"/>
      <c r="DB5" s="245"/>
      <c r="DC5" s="245"/>
      <c r="DD5" s="257"/>
      <c r="DE5" s="245"/>
      <c r="DG5" s="248"/>
      <c r="DH5" s="245"/>
      <c r="DI5" s="245"/>
      <c r="DJ5" s="245"/>
      <c r="DK5" s="245"/>
      <c r="DL5" s="245"/>
      <c r="DM5" s="245"/>
      <c r="DN5" s="245"/>
      <c r="DO5" s="257"/>
      <c r="DP5" s="245"/>
      <c r="DR5" s="248"/>
      <c r="DS5" s="245"/>
      <c r="DT5" s="245"/>
      <c r="DU5" s="245"/>
      <c r="DV5" s="245"/>
      <c r="DW5" s="245"/>
      <c r="DX5" s="245"/>
      <c r="DY5" s="245"/>
      <c r="DZ5" s="257"/>
      <c r="EA5" s="245"/>
    </row>
    <row r="6" spans="1:131" ht="15.75" x14ac:dyDescent="0.25">
      <c r="A6" s="248"/>
      <c r="B6" s="245"/>
      <c r="C6" s="245"/>
      <c r="D6" s="245"/>
      <c r="E6" s="245"/>
      <c r="F6" s="245"/>
      <c r="G6" s="245"/>
      <c r="H6" s="245"/>
      <c r="I6" s="245"/>
      <c r="J6" s="245"/>
      <c r="L6" s="248"/>
      <c r="M6" s="245"/>
      <c r="N6" s="245"/>
      <c r="O6" s="245"/>
      <c r="P6" s="245"/>
      <c r="Q6" s="245"/>
      <c r="R6" s="245"/>
      <c r="S6" s="245"/>
      <c r="T6" s="245"/>
      <c r="U6" s="245"/>
      <c r="W6" s="248"/>
      <c r="X6" s="245"/>
      <c r="Y6" s="245"/>
      <c r="Z6" s="245"/>
      <c r="AA6" s="245"/>
      <c r="AB6" s="245"/>
      <c r="AC6" s="245"/>
      <c r="AD6" s="245"/>
      <c r="AE6" s="245"/>
      <c r="AF6" s="245"/>
      <c r="AH6" s="248"/>
      <c r="AI6" s="245"/>
      <c r="AJ6" s="245"/>
      <c r="AK6" s="245"/>
      <c r="AL6" s="245"/>
      <c r="AM6" s="245"/>
      <c r="AN6" s="245"/>
      <c r="AO6" s="245"/>
      <c r="AP6" s="245"/>
      <c r="AQ6" s="245"/>
      <c r="AS6" s="248"/>
      <c r="AT6" s="245"/>
      <c r="AU6" s="245"/>
      <c r="AV6" s="245"/>
      <c r="AW6" s="245"/>
      <c r="AX6" s="245"/>
      <c r="AY6" s="245"/>
      <c r="AZ6" s="245"/>
      <c r="BA6" s="245"/>
      <c r="BB6" s="245"/>
      <c r="BD6" s="248"/>
      <c r="BE6" s="245"/>
      <c r="BF6" s="245"/>
      <c r="BG6" s="245"/>
      <c r="BH6" s="245"/>
      <c r="BI6" s="245"/>
      <c r="BJ6" s="245"/>
      <c r="BK6" s="245"/>
      <c r="BL6" s="245"/>
      <c r="BM6" s="245"/>
      <c r="BO6" s="248"/>
      <c r="BP6" s="245"/>
      <c r="BQ6" s="245"/>
      <c r="BR6" s="245"/>
      <c r="BS6" s="245"/>
      <c r="BT6" s="245"/>
      <c r="BU6" s="253"/>
      <c r="BV6" s="254"/>
      <c r="BW6" s="245"/>
      <c r="BX6" s="245"/>
      <c r="BZ6" s="248"/>
      <c r="CA6" s="245"/>
      <c r="CB6" s="245"/>
      <c r="CC6" s="245"/>
      <c r="CD6" s="245"/>
      <c r="CE6" s="245"/>
      <c r="CF6" s="253"/>
      <c r="CG6" s="254"/>
      <c r="CH6" s="245"/>
      <c r="CI6" s="245"/>
      <c r="CK6" s="248"/>
      <c r="CL6" s="245"/>
      <c r="CM6" s="245"/>
      <c r="CN6" s="245"/>
      <c r="CO6" s="245"/>
      <c r="CP6" s="245"/>
      <c r="CQ6" s="253"/>
      <c r="CR6" s="254"/>
      <c r="CS6" s="245"/>
      <c r="CT6" s="245"/>
      <c r="CV6" s="250" t="s">
        <v>578</v>
      </c>
      <c r="CW6" s="255">
        <v>6</v>
      </c>
      <c r="CX6" s="339">
        <v>0</v>
      </c>
      <c r="CY6" s="339">
        <f ca="1">IF(RollWidth="Y", VALUE(Width)+1.725, VALUE(Width)*0.5)</f>
        <v>43.725000000000001</v>
      </c>
      <c r="CZ6" s="251">
        <v>0.28299999999999997</v>
      </c>
      <c r="DA6" s="252">
        <v>1</v>
      </c>
      <c r="DB6" s="340">
        <f ca="1">((PI()*CY6*CZ6/4)*(CW6^2-CX6^2))*DA6</f>
        <v>349.87155546811027</v>
      </c>
      <c r="DC6" s="254">
        <f ca="1">(((DB6/386.4)*(CW6^2+CX6^2))/8)</f>
        <v>4.0745910962901046</v>
      </c>
      <c r="DD6" s="255">
        <f ca="1">Ratio</f>
        <v>11.111000000000001</v>
      </c>
      <c r="DE6" s="256">
        <f ca="1">(DC6/(DD6^2))</f>
        <v>3.3004847973608829E-2</v>
      </c>
      <c r="DG6" s="250" t="s">
        <v>578</v>
      </c>
      <c r="DH6" s="339">
        <v>7</v>
      </c>
      <c r="DI6" s="339">
        <v>0</v>
      </c>
      <c r="DJ6" s="339">
        <f ca="1">IF(RollWidth="Y", VALUE(Width)+1.725, VALUE(Width)*0.5)</f>
        <v>43.725000000000001</v>
      </c>
      <c r="DK6" s="254">
        <v>0.28299999999999997</v>
      </c>
      <c r="DL6" s="252">
        <v>1</v>
      </c>
      <c r="DM6" s="340">
        <f ca="1">((PI()*DJ6*DK6/4)*(DH6^2-DI6^2))*DL6</f>
        <v>476.21406160937232</v>
      </c>
      <c r="DN6" s="254">
        <f ca="1">(((DM6/386.4)*(DH6^2+DI6^2))/8)</f>
        <v>7.5486830418152326</v>
      </c>
      <c r="DO6" s="255">
        <f ca="1">Ratio</f>
        <v>11.111000000000001</v>
      </c>
      <c r="DP6" s="256">
        <f ca="1">(DN6/(DO6^2))</f>
        <v>6.1145555543699694E-2</v>
      </c>
      <c r="DR6" s="250" t="s">
        <v>578</v>
      </c>
      <c r="DS6" s="341">
        <v>8</v>
      </c>
      <c r="DT6" s="341">
        <v>0</v>
      </c>
      <c r="DU6" s="342">
        <f ca="1">IF(RollWidth="Y", VALUE(Width)+1.725, VALUE(Width)*0.5)</f>
        <v>43.725000000000001</v>
      </c>
      <c r="DV6" s="251">
        <v>0.28299999999999997</v>
      </c>
      <c r="DW6" s="252">
        <v>1</v>
      </c>
      <c r="DX6" s="340">
        <f ca="1">((PI()*DU6*DV6/4)*(DS6^2-DT6^2))*DW6</f>
        <v>621.99387638775158</v>
      </c>
      <c r="DY6" s="254">
        <f ca="1">(((DX6/386.4)*(DS6^2+DT6^2))/8)</f>
        <v>12.877720008027984</v>
      </c>
      <c r="DZ6" s="341">
        <f ca="1">Ratio</f>
        <v>11.111000000000001</v>
      </c>
      <c r="EA6" s="256">
        <f ca="1">(DY6/(DZ6^2))</f>
        <v>0.10431161828696123</v>
      </c>
    </row>
    <row r="7" spans="1:131" ht="15.75" x14ac:dyDescent="0.25">
      <c r="A7" s="250" t="s">
        <v>578</v>
      </c>
      <c r="B7" s="251">
        <v>2.25</v>
      </c>
      <c r="C7" s="251">
        <v>0</v>
      </c>
      <c r="D7" s="251">
        <f ca="1">VALUE(Width)+0.75</f>
        <v>42.75</v>
      </c>
      <c r="E7" s="251">
        <v>0.28299999999999997</v>
      </c>
      <c r="F7" s="252">
        <v>1</v>
      </c>
      <c r="G7" s="253">
        <f ca="1">((PI()*D7*E7/4)*(B7^2-C7^2))*F7</f>
        <v>48.103588109761084</v>
      </c>
      <c r="H7" s="254">
        <f ca="1">(((G7/386.4)*(B7^2+C7^2))/8)</f>
        <v>7.8779896093965296E-2</v>
      </c>
      <c r="I7" s="255">
        <f ca="1">Ratio</f>
        <v>11.111000000000001</v>
      </c>
      <c r="J7" s="256">
        <f ca="1">(H7/(I7^2))</f>
        <v>6.3812992089572369E-4</v>
      </c>
      <c r="L7" s="250" t="s">
        <v>578</v>
      </c>
      <c r="M7" s="251">
        <v>2.25</v>
      </c>
      <c r="N7" s="251">
        <v>0</v>
      </c>
      <c r="O7" s="251">
        <f ca="1">VALUE(Width)+0.75</f>
        <v>42.75</v>
      </c>
      <c r="P7" s="251">
        <v>0.28299999999999997</v>
      </c>
      <c r="Q7" s="252">
        <v>1</v>
      </c>
      <c r="R7" s="253">
        <f ca="1">((PI()*P7*O7/4)*(M7^2-N7^2))*Q7</f>
        <v>48.103588109761084</v>
      </c>
      <c r="S7" s="254">
        <f ca="1">(((R7/386.4)*(M7^2+N7^2))/8)</f>
        <v>7.8779896093965296E-2</v>
      </c>
      <c r="T7" s="255">
        <f ca="1">Ratio</f>
        <v>11.111000000000001</v>
      </c>
      <c r="U7" s="256">
        <f ca="1">(S7/(T7^2))</f>
        <v>6.3812992089572369E-4</v>
      </c>
      <c r="W7" s="250" t="s">
        <v>578</v>
      </c>
      <c r="X7" s="251">
        <v>2.625</v>
      </c>
      <c r="Y7" s="251">
        <v>0</v>
      </c>
      <c r="Z7" s="251">
        <f ca="1">VALUE(Width)+0.75</f>
        <v>42.75</v>
      </c>
      <c r="AA7" s="251">
        <v>0.28299999999999997</v>
      </c>
      <c r="AB7" s="252">
        <v>1</v>
      </c>
      <c r="AC7" s="253">
        <f ca="1">((PI()*Z7*AA7/4)*(X7^2-Y7^2))*AB7</f>
        <v>65.474328260508145</v>
      </c>
      <c r="AD7" s="254">
        <f ca="1">(((AC7/386.4)*(X7^2+Y7^2))/8)</f>
        <v>0.14594948342716874</v>
      </c>
      <c r="AE7" s="255">
        <f ca="1">Ratio</f>
        <v>11.111000000000001</v>
      </c>
      <c r="AF7" s="256">
        <f ca="1">(AD7/(AE7^2))</f>
        <v>1.1822144599310438E-3</v>
      </c>
      <c r="AH7" s="250" t="s">
        <v>578</v>
      </c>
      <c r="AI7" s="251">
        <v>2.625</v>
      </c>
      <c r="AJ7" s="251">
        <v>0</v>
      </c>
      <c r="AK7" s="251">
        <f ca="1">VALUE(Width)+0.75</f>
        <v>42.75</v>
      </c>
      <c r="AL7" s="251">
        <v>0.28299999999999997</v>
      </c>
      <c r="AM7" s="252">
        <v>1</v>
      </c>
      <c r="AN7" s="253">
        <f ca="1">((PI()*AK7*AL7/4)*(AI7^2-AJ7^2))*AM7</f>
        <v>65.474328260508145</v>
      </c>
      <c r="AO7" s="254">
        <f ca="1">(((AN7/386.4)*(AI7^2+AJ7^2))/8)</f>
        <v>0.14594948342716874</v>
      </c>
      <c r="AP7" s="255">
        <f ca="1">Ratio</f>
        <v>11.111000000000001</v>
      </c>
      <c r="AQ7" s="256">
        <f ca="1">(AO7/(AP7^2))</f>
        <v>1.1822144599310438E-3</v>
      </c>
      <c r="AS7" s="250" t="s">
        <v>579</v>
      </c>
      <c r="AT7" s="251">
        <v>3</v>
      </c>
      <c r="AU7" s="251">
        <v>0</v>
      </c>
      <c r="AV7" s="251">
        <f ca="1">IF(RollWidth="Y", VALUE(Width)+1.99, VALUE(Width)*0.5)</f>
        <v>43.99</v>
      </c>
      <c r="AW7" s="251">
        <v>0.28299999999999997</v>
      </c>
      <c r="AX7" s="252">
        <v>1</v>
      </c>
      <c r="AY7" s="253">
        <f ca="1">((PI()*AV7*AW7/4)*(AT7^2-AU7^2))*AX7</f>
        <v>87.997997284403496</v>
      </c>
      <c r="AZ7" s="254">
        <f ca="1">(((AY7/386.4)*(AT7^2+AU7^2))/8)</f>
        <v>0.25620534923642324</v>
      </c>
      <c r="BA7" s="251">
        <f ca="1">Ratio</f>
        <v>11.111000000000001</v>
      </c>
      <c r="BB7" s="256">
        <f ca="1">(AZ7/(BA7^2))</f>
        <v>2.0753048347041917E-3</v>
      </c>
      <c r="BD7" s="250" t="s">
        <v>579</v>
      </c>
      <c r="BE7" s="251">
        <v>3</v>
      </c>
      <c r="BF7" s="251">
        <v>0</v>
      </c>
      <c r="BG7" s="251">
        <f ca="1">IF(RollWidth="Y", VALUE(Width)+1.99, VALUE(Width)*0.5)</f>
        <v>43.99</v>
      </c>
      <c r="BH7" s="251">
        <v>0.28299999999999997</v>
      </c>
      <c r="BI7" s="252">
        <v>1</v>
      </c>
      <c r="BJ7" s="253">
        <f ca="1">((PI()*BG7*BH7/4)*(BE7^2-BF7^2))*BI7</f>
        <v>87.997997284403496</v>
      </c>
      <c r="BK7" s="254">
        <f ca="1">(((BJ7/386.4)*(BE7^2+BF7^2))/8)</f>
        <v>0.25620534923642324</v>
      </c>
      <c r="BL7" s="251">
        <f ca="1">Ratio</f>
        <v>11.111000000000001</v>
      </c>
      <c r="BM7" s="256">
        <f ca="1">(BK7/(BL7^2))</f>
        <v>2.0753048347041917E-3</v>
      </c>
      <c r="BO7" s="250" t="s">
        <v>579</v>
      </c>
      <c r="BP7" s="251">
        <v>4</v>
      </c>
      <c r="BQ7" s="251">
        <v>0</v>
      </c>
      <c r="BR7" s="251">
        <f ca="1">IF(RollWidth="Y", VALUE(Width)+1.99, VALUE(Width)*0.5)</f>
        <v>43.99</v>
      </c>
      <c r="BS7" s="251">
        <v>0.28299999999999997</v>
      </c>
      <c r="BT7" s="252">
        <v>1</v>
      </c>
      <c r="BU7" s="253">
        <f ca="1">((PI()*BR7*BS7/4)*(BP7^2-BQ7^2))*BT7</f>
        <v>156.44088406116177</v>
      </c>
      <c r="BV7" s="254">
        <f ca="1">(((BU7/386.4)*(BP7^2+BQ7^2))/8)</f>
        <v>0.80973542474721416</v>
      </c>
      <c r="BW7" s="255">
        <f ca="1">Ratio</f>
        <v>11.111000000000001</v>
      </c>
      <c r="BX7" s="256">
        <f ca="1">(BV7/(BW7^2))</f>
        <v>6.5589881195589261E-3</v>
      </c>
      <c r="BZ7" s="250" t="s">
        <v>579</v>
      </c>
      <c r="CA7" s="251">
        <v>4</v>
      </c>
      <c r="CB7" s="251">
        <v>1</v>
      </c>
      <c r="CC7" s="251">
        <f ca="1">IF(RollWidth="Y", VALUE(Width)+1.99, VALUE(Width)*0.5)</f>
        <v>43.99</v>
      </c>
      <c r="CD7" s="251">
        <v>0.28299999999999997</v>
      </c>
      <c r="CE7" s="252">
        <v>1</v>
      </c>
      <c r="CF7" s="253">
        <f ca="1">((PI()*CC7*CD7/4)*(CA7^2-CB7^2))*CE7</f>
        <v>146.66332880733916</v>
      </c>
      <c r="CG7" s="254">
        <f ca="1">(((CF7/386.4)*(CA7^2+CB7^2))/8)</f>
        <v>0.80657239574429529</v>
      </c>
      <c r="CH7" s="255">
        <f ca="1">Ratio</f>
        <v>11.111000000000001</v>
      </c>
      <c r="CI7" s="256">
        <f ca="1">(CG7/(CH7^2))</f>
        <v>6.5333670722168983E-3</v>
      </c>
      <c r="CK7" s="250" t="s">
        <v>579</v>
      </c>
      <c r="CL7" s="251">
        <v>5</v>
      </c>
      <c r="CM7" s="251">
        <v>0</v>
      </c>
      <c r="CN7" s="251">
        <f ca="1">IF(RollWidth="Y", VALUE(Width)+0.49, VALUE(Width)*0.5)</f>
        <v>42.49</v>
      </c>
      <c r="CO7" s="251">
        <v>0.28299999999999997</v>
      </c>
      <c r="CP7" s="252">
        <v>1</v>
      </c>
      <c r="CQ7" s="253">
        <f ca="1">((PI()*CN7*CO7/4)*(CL7^2-CM7^2))*CP7</f>
        <v>236.10384333650987</v>
      </c>
      <c r="CR7" s="254">
        <f ca="1">(((CQ7/386.4)*(CL7^2+CM7^2))/8)</f>
        <v>1.9094837226361114</v>
      </c>
      <c r="CS7" s="255">
        <f ca="1">Ratio</f>
        <v>11.111000000000001</v>
      </c>
      <c r="CT7" s="256">
        <f ca="1">(CR7/(CS7^2))</f>
        <v>1.5467127494355675E-2</v>
      </c>
      <c r="CV7" s="250"/>
      <c r="CW7" s="255">
        <v>4.5</v>
      </c>
      <c r="CX7" s="339">
        <v>0</v>
      </c>
      <c r="CY7" s="339">
        <f ca="1">IF(RollWidth="Y", 0, (VALUE(Width)+1.725)-(VALUE(Width)*0.5))</f>
        <v>0</v>
      </c>
      <c r="CZ7" s="251">
        <v>0.28299999999999997</v>
      </c>
      <c r="DA7" s="252">
        <v>1</v>
      </c>
      <c r="DB7" s="340">
        <f ca="1">((PI()*CY7*CZ7/4)*(CW7^2-CX7^2))*DA7</f>
        <v>0</v>
      </c>
      <c r="DC7" s="254">
        <f ca="1">(((DB7/386.4)*(CW7^2+CX7^2))/8)</f>
        <v>0</v>
      </c>
      <c r="DD7" s="255">
        <f ca="1">Ratio</f>
        <v>11.111000000000001</v>
      </c>
      <c r="DE7" s="256">
        <f ca="1">(DC7/(DD7^2))</f>
        <v>0</v>
      </c>
      <c r="DG7" s="250"/>
      <c r="DH7" s="339">
        <v>6</v>
      </c>
      <c r="DI7" s="339">
        <v>0</v>
      </c>
      <c r="DJ7" s="339">
        <f ca="1">IF(RollWidth="Y", 0, (VALUE(Width)+1.725)-(VALUE(Width)*0.5))</f>
        <v>0</v>
      </c>
      <c r="DK7" s="254">
        <v>0.28299999999999997</v>
      </c>
      <c r="DL7" s="252">
        <v>1</v>
      </c>
      <c r="DM7" s="340">
        <f ca="1">((PI()*DJ7*DK7/4)*(DH7^2-DI7^2))*DL7</f>
        <v>0</v>
      </c>
      <c r="DN7" s="254">
        <f ca="1">(((DM7/386.4)*(DH7^2+DI7^2))/8)</f>
        <v>0</v>
      </c>
      <c r="DO7" s="255">
        <f ca="1">Ratio</f>
        <v>11.111000000000001</v>
      </c>
      <c r="DP7" s="256">
        <f ca="1">(DN7/(DO7^2))</f>
        <v>0</v>
      </c>
      <c r="DR7" s="250"/>
      <c r="DS7" s="341">
        <v>7</v>
      </c>
      <c r="DT7" s="341">
        <v>0</v>
      </c>
      <c r="DU7" s="342">
        <f ca="1">IF(RollWidth="Y", 0, (VALUE(Width)+1.725)-(VALUE(Width)*0.5))</f>
        <v>0</v>
      </c>
      <c r="DV7" s="251">
        <v>0.28299999999999997</v>
      </c>
      <c r="DW7" s="252">
        <v>1</v>
      </c>
      <c r="DX7" s="340">
        <f ca="1">((PI()*DU7*DV7/4)*(DS7^2-DT7^2))*DW7</f>
        <v>0</v>
      </c>
      <c r="DY7" s="254">
        <f ca="1">(((DX7/386.4)*(DS7^2+DT7^2))/8)</f>
        <v>0</v>
      </c>
      <c r="DZ7" s="341">
        <f ca="1">Ratio</f>
        <v>11.111000000000001</v>
      </c>
      <c r="EA7" s="256">
        <f ca="1">(DY7/(DZ7^2))</f>
        <v>0</v>
      </c>
    </row>
    <row r="8" spans="1:131" ht="15.75" x14ac:dyDescent="0.25">
      <c r="A8" s="250" t="s">
        <v>580</v>
      </c>
      <c r="B8" s="251">
        <v>1</v>
      </c>
      <c r="C8" s="251">
        <v>0</v>
      </c>
      <c r="D8" s="251">
        <v>4.25</v>
      </c>
      <c r="E8" s="251">
        <v>0.28299999999999997</v>
      </c>
      <c r="F8" s="257">
        <v>1</v>
      </c>
      <c r="G8" s="253">
        <f>((PI()*D8*E8/4)*(B8^2-C8^2))*F8</f>
        <v>0.94463764102628089</v>
      </c>
      <c r="H8" s="254">
        <f>(((G8/386.4)*(B8^2+C8^2))/8)</f>
        <v>3.0558929898624515E-4</v>
      </c>
      <c r="I8" s="255">
        <f ca="1">Ratio</f>
        <v>11.111000000000001</v>
      </c>
      <c r="J8" s="256">
        <f ca="1">(H8/(I8^2))</f>
        <v>2.4753228279976131E-6</v>
      </c>
      <c r="L8" s="250" t="s">
        <v>580</v>
      </c>
      <c r="M8" s="251">
        <v>1</v>
      </c>
      <c r="N8" s="251">
        <v>0</v>
      </c>
      <c r="O8" s="251">
        <v>4.25</v>
      </c>
      <c r="P8" s="251">
        <v>0.28299999999999997</v>
      </c>
      <c r="Q8" s="257">
        <v>1</v>
      </c>
      <c r="R8" s="253">
        <f>((PI()*P8*O8/4)*(M8^2-N8^2))*Q8</f>
        <v>0.94463764102628078</v>
      </c>
      <c r="S8" s="254">
        <f>(((R8/386.4)*(M8^2+N8^2))/8)</f>
        <v>3.055892989862451E-4</v>
      </c>
      <c r="T8" s="255">
        <f ca="1">Ratio</f>
        <v>11.111000000000001</v>
      </c>
      <c r="U8" s="256">
        <f ca="1">(S8/(T8^2))</f>
        <v>2.4753228279976127E-6</v>
      </c>
      <c r="W8" s="250" t="s">
        <v>580</v>
      </c>
      <c r="X8" s="251">
        <v>1</v>
      </c>
      <c r="Y8" s="251">
        <v>0</v>
      </c>
      <c r="Z8" s="251">
        <v>4.25</v>
      </c>
      <c r="AA8" s="251">
        <v>0.28299999999999997</v>
      </c>
      <c r="AB8" s="257">
        <v>1</v>
      </c>
      <c r="AC8" s="253">
        <f>((PI()*Z8*AA8/4)*(X8^2-Y8^2))*AB8</f>
        <v>0.94463764102628089</v>
      </c>
      <c r="AD8" s="254">
        <f>(((AC8/386.4)*(X8^2+Y8^2))/8)</f>
        <v>3.0558929898624515E-4</v>
      </c>
      <c r="AE8" s="255">
        <f ca="1">Ratio</f>
        <v>11.111000000000001</v>
      </c>
      <c r="AF8" s="256">
        <f ca="1">(AD8/(AE8^2))</f>
        <v>2.4753228279976131E-6</v>
      </c>
      <c r="AH8" s="250" t="s">
        <v>580</v>
      </c>
      <c r="AI8" s="251">
        <v>1</v>
      </c>
      <c r="AJ8" s="251">
        <v>0</v>
      </c>
      <c r="AK8" s="251">
        <v>4.25</v>
      </c>
      <c r="AL8" s="251">
        <v>0.28299999999999997</v>
      </c>
      <c r="AM8" s="257">
        <v>1</v>
      </c>
      <c r="AN8" s="253">
        <f>((PI()*AK8*AL8/4)*(AI8^2-AJ8^2))*AM8</f>
        <v>0.94463764102628089</v>
      </c>
      <c r="AO8" s="254">
        <f>(((AN8/386.4)*(AI8^2+AJ8^2))/8)</f>
        <v>3.0558929898624515E-4</v>
      </c>
      <c r="AP8" s="255">
        <f ca="1">Ratio</f>
        <v>11.111000000000001</v>
      </c>
      <c r="AQ8" s="256">
        <f ca="1">(AO8/(AP8^2))</f>
        <v>2.4753228279976131E-6</v>
      </c>
      <c r="AS8" s="250" t="s">
        <v>581</v>
      </c>
      <c r="AT8" s="251">
        <v>2.63</v>
      </c>
      <c r="AU8" s="251">
        <v>0</v>
      </c>
      <c r="AV8" s="251">
        <f ca="1">IF(RollWidth="Y", 0, VALUE(Width)*0.5+1.99)</f>
        <v>0</v>
      </c>
      <c r="AW8" s="251">
        <v>0.28299999999999997</v>
      </c>
      <c r="AX8" s="257">
        <v>1</v>
      </c>
      <c r="AY8" s="253">
        <f ca="1">((PI()*AV8*AW8/4)*(AT8^2-AU8^2))*AX8</f>
        <v>0</v>
      </c>
      <c r="AZ8" s="254">
        <f ca="1">(((AY8/386.4)*(AT8^2+AU8^2))/8)</f>
        <v>0</v>
      </c>
      <c r="BA8" s="251">
        <f ca="1">Ratio</f>
        <v>11.111000000000001</v>
      </c>
      <c r="BB8" s="256">
        <f ca="1">(AZ8/(BA8^2))</f>
        <v>0</v>
      </c>
      <c r="BD8" s="250" t="s">
        <v>581</v>
      </c>
      <c r="BE8" s="251">
        <v>2.63</v>
      </c>
      <c r="BF8" s="251">
        <v>0</v>
      </c>
      <c r="BG8" s="251">
        <f ca="1">IF(RollWidth="Y", 0, VALUE(Width)*0.5+1.99)</f>
        <v>0</v>
      </c>
      <c r="BH8" s="251">
        <v>0.28299999999999997</v>
      </c>
      <c r="BI8" s="257">
        <v>1</v>
      </c>
      <c r="BJ8" s="253">
        <f ca="1">((PI()*BG8*BH8/4)*(BE8^2-BF8^2))*BI8</f>
        <v>0</v>
      </c>
      <c r="BK8" s="254">
        <f ca="1">(((BJ8/386.4)*(BE8^2+BF8^2))/8)</f>
        <v>0</v>
      </c>
      <c r="BL8" s="251">
        <f ca="1">Ratio</f>
        <v>11.111000000000001</v>
      </c>
      <c r="BM8" s="256">
        <f ca="1">(BK8/(BL8^2))</f>
        <v>0</v>
      </c>
      <c r="BO8" s="250" t="s">
        <v>581</v>
      </c>
      <c r="BP8" s="251">
        <v>3.63</v>
      </c>
      <c r="BQ8" s="251">
        <v>0</v>
      </c>
      <c r="BR8" s="251">
        <f ca="1">IF(RollWidth="Y", 0, VALUE(Width)*0.5+1.99)</f>
        <v>0</v>
      </c>
      <c r="BS8" s="251">
        <v>0.28299999999999997</v>
      </c>
      <c r="BT8" s="257">
        <v>1</v>
      </c>
      <c r="BU8" s="253">
        <f ca="1">((PI()*BR8*BS8/4)*(BP8^2-BQ8^2))*BT8</f>
        <v>0</v>
      </c>
      <c r="BV8" s="254">
        <f ca="1">(((BU8/386.4)*(BP8^2+BQ8^2))/8)</f>
        <v>0</v>
      </c>
      <c r="BW8" s="255">
        <f ca="1">Ratio</f>
        <v>11.111000000000001</v>
      </c>
      <c r="BX8" s="256">
        <f ca="1">(BV8/(BW8^2))</f>
        <v>0</v>
      </c>
      <c r="BZ8" s="250" t="s">
        <v>581</v>
      </c>
      <c r="CA8" s="251">
        <v>3.63</v>
      </c>
      <c r="CB8" s="251">
        <v>0</v>
      </c>
      <c r="CC8" s="251">
        <f ca="1">IF(RollWidth="Y", 0, VALUE(Width)*0.5+1.99)</f>
        <v>0</v>
      </c>
      <c r="CD8" s="251">
        <v>0.28299999999999997</v>
      </c>
      <c r="CE8" s="257">
        <v>1</v>
      </c>
      <c r="CF8" s="253">
        <f ca="1">((PI()*CC8*CD8/4)*(CA8^2-CB8^2))*CE8</f>
        <v>0</v>
      </c>
      <c r="CG8" s="254">
        <f ca="1">(((CF8/386.4)*(CA8^2+CB8^2))/8)</f>
        <v>0</v>
      </c>
      <c r="CH8" s="255">
        <f ca="1">Ratio</f>
        <v>11.111000000000001</v>
      </c>
      <c r="CI8" s="256">
        <f ca="1">(CG8/(CH8^2))</f>
        <v>0</v>
      </c>
      <c r="CK8" s="250" t="s">
        <v>581</v>
      </c>
      <c r="CL8" s="251">
        <v>4</v>
      </c>
      <c r="CM8" s="251">
        <v>0</v>
      </c>
      <c r="CN8" s="251">
        <f ca="1">IF(RollWidth="Y", 0, VALUE(Width)*0.5+1.99)</f>
        <v>0</v>
      </c>
      <c r="CO8" s="251">
        <v>0.28299999999999997</v>
      </c>
      <c r="CP8" s="257">
        <v>1</v>
      </c>
      <c r="CQ8" s="253">
        <f ca="1">((PI()*CN8*CO8/4)*(CL8^2-CM8^2))*CP8</f>
        <v>0</v>
      </c>
      <c r="CR8" s="254">
        <f ca="1">(((CQ8/386.4)*(CL8^2+CM8^2))/8)</f>
        <v>0</v>
      </c>
      <c r="CS8" s="255">
        <f ca="1">Ratio</f>
        <v>11.111000000000001</v>
      </c>
      <c r="CT8" s="256">
        <f ca="1">(CR8/(CS8^2))</f>
        <v>0</v>
      </c>
      <c r="CV8" s="250" t="s">
        <v>580</v>
      </c>
      <c r="CW8" s="255">
        <v>2.7549999999999999</v>
      </c>
      <c r="CX8" s="339">
        <v>0</v>
      </c>
      <c r="CY8" s="339">
        <v>4.6500000000000004</v>
      </c>
      <c r="CZ8" s="251">
        <v>0.28299999999999997</v>
      </c>
      <c r="DA8" s="257">
        <v>1</v>
      </c>
      <c r="DB8" s="340">
        <f>((PI()*CY8*CZ8/4)*(CW8^2-CX8^2))*DA8</f>
        <v>7.8446302112204274</v>
      </c>
      <c r="DC8" s="254">
        <f>(((DB8/386.4)*(CW8^2+CX8^2))/8)</f>
        <v>1.9261432265436831E-2</v>
      </c>
      <c r="DD8" s="255">
        <f ca="1">Ratio</f>
        <v>11.111000000000001</v>
      </c>
      <c r="DE8" s="256">
        <f ca="1">(DC8/(DD8^2))</f>
        <v>1.5602072174887121E-4</v>
      </c>
      <c r="DG8" s="250" t="s">
        <v>580</v>
      </c>
      <c r="DH8" s="339">
        <v>2.75</v>
      </c>
      <c r="DI8" s="339">
        <v>0</v>
      </c>
      <c r="DJ8" s="339">
        <v>4.6500000000000004</v>
      </c>
      <c r="DK8" s="254">
        <v>0.28299999999999997</v>
      </c>
      <c r="DL8" s="257">
        <v>1</v>
      </c>
      <c r="DM8" s="340">
        <f>((PI()*DJ8*DK8/4)*(DH8^2-DI8^2))*DL8</f>
        <v>7.8161818929917199</v>
      </c>
      <c r="DN8" s="254">
        <f>(((DM8/386.4)*(DH8^2+DI8^2))/8)</f>
        <v>1.9121983555172712E-2</v>
      </c>
      <c r="DO8" s="255">
        <f ca="1">Ratio</f>
        <v>11.111000000000001</v>
      </c>
      <c r="DP8" s="256">
        <f ca="1">(DN8/(DO8^2))</f>
        <v>1.5489116460470193E-4</v>
      </c>
      <c r="DR8" s="250" t="s">
        <v>580</v>
      </c>
      <c r="DS8" s="341">
        <v>3.54</v>
      </c>
      <c r="DT8" s="341">
        <v>0</v>
      </c>
      <c r="DU8" s="342">
        <v>5</v>
      </c>
      <c r="DV8" s="251">
        <v>0.28299999999999997</v>
      </c>
      <c r="DW8" s="257">
        <v>1</v>
      </c>
      <c r="DX8" s="340">
        <f>((PI()*DU8*DV8/4)*(DS8^2-DT8^2))*DW8</f>
        <v>13.92684830857052</v>
      </c>
      <c r="DY8" s="254">
        <f>(((DX8/386.4)*(DS8^2+DT8^2))/8)</f>
        <v>5.6458880778882746E-2</v>
      </c>
      <c r="DZ8" s="341">
        <f ca="1">Ratio</f>
        <v>11.111000000000001</v>
      </c>
      <c r="EA8" s="256">
        <f ca="1">(DY8/(DZ8^2))</f>
        <v>4.5732608078483323E-4</v>
      </c>
    </row>
    <row r="9" spans="1:131" ht="15.75" x14ac:dyDescent="0.25">
      <c r="A9" s="250"/>
      <c r="B9" s="251"/>
      <c r="C9" s="251"/>
      <c r="D9" s="251"/>
      <c r="E9" s="251"/>
      <c r="F9" s="245"/>
      <c r="G9" s="253"/>
      <c r="H9" s="254"/>
      <c r="I9" s="255"/>
      <c r="J9" s="256"/>
      <c r="L9" s="250"/>
      <c r="M9" s="251"/>
      <c r="N9" s="251"/>
      <c r="O9" s="251"/>
      <c r="P9" s="251"/>
      <c r="Q9" s="245"/>
      <c r="R9" s="253"/>
      <c r="S9" s="254"/>
      <c r="T9" s="255"/>
      <c r="U9" s="256"/>
      <c r="W9" s="250"/>
      <c r="X9" s="251"/>
      <c r="Y9" s="251"/>
      <c r="Z9" s="251"/>
      <c r="AA9" s="251"/>
      <c r="AB9" s="245"/>
      <c r="AC9" s="253"/>
      <c r="AD9" s="254"/>
      <c r="AE9" s="255"/>
      <c r="AF9" s="256"/>
      <c r="AH9" s="250"/>
      <c r="AI9" s="251"/>
      <c r="AJ9" s="251"/>
      <c r="AK9" s="251"/>
      <c r="AL9" s="251"/>
      <c r="AM9" s="245"/>
      <c r="AN9" s="253"/>
      <c r="AO9" s="254"/>
      <c r="AP9" s="245"/>
      <c r="AQ9" s="245"/>
      <c r="AS9" s="250" t="s">
        <v>580</v>
      </c>
      <c r="AT9" s="251">
        <v>1.5745</v>
      </c>
      <c r="AU9" s="251">
        <v>0</v>
      </c>
      <c r="AV9" s="251">
        <v>6.14</v>
      </c>
      <c r="AW9" s="251">
        <v>0.28299999999999997</v>
      </c>
      <c r="AX9" s="257">
        <v>1</v>
      </c>
      <c r="AY9" s="253">
        <f>((PI()*AV9*AW9/4)*(AT9^2-AU9^2))*AX9</f>
        <v>3.3832182743750723</v>
      </c>
      <c r="AZ9" s="254">
        <f>(((AY9/386.4)*(AT9^2+AU9^2))/8)</f>
        <v>2.7132402008585963E-3</v>
      </c>
      <c r="BA9" s="251">
        <f ca="1">Ratio</f>
        <v>11.111000000000001</v>
      </c>
      <c r="BB9" s="256">
        <f ca="1">(AZ9/(BA9^2))</f>
        <v>2.1977685178460427E-5</v>
      </c>
      <c r="BD9" s="250" t="s">
        <v>580</v>
      </c>
      <c r="BE9" s="251">
        <v>1.5745</v>
      </c>
      <c r="BF9" s="251">
        <v>0</v>
      </c>
      <c r="BG9" s="251">
        <v>6.14</v>
      </c>
      <c r="BH9" s="251">
        <v>0.28299999999999997</v>
      </c>
      <c r="BI9" s="257">
        <v>1</v>
      </c>
      <c r="BJ9" s="253">
        <f>((PI()*BG9*BH9/4)*(BE9^2-BF9^2))*BI9</f>
        <v>3.3832182743750723</v>
      </c>
      <c r="BK9" s="254">
        <f>(((BJ9/386.4)*(BE9^2+BF9^2))/8)</f>
        <v>2.7132402008585963E-3</v>
      </c>
      <c r="BL9" s="251">
        <f ca="1">Ratio</f>
        <v>11.111000000000001</v>
      </c>
      <c r="BM9" s="256">
        <f ca="1">(BK9/(BL9^2))</f>
        <v>2.1977685178460427E-5</v>
      </c>
      <c r="BO9" s="250" t="s">
        <v>580</v>
      </c>
      <c r="BP9" s="251">
        <v>2.165</v>
      </c>
      <c r="BQ9" s="251">
        <v>0</v>
      </c>
      <c r="BR9" s="251">
        <v>7.01</v>
      </c>
      <c r="BS9" s="251">
        <v>0.28299999999999997</v>
      </c>
      <c r="BT9" s="257">
        <v>1</v>
      </c>
      <c r="BU9" s="253">
        <f>((PI()*BR9*BS9/4)*(BP9^2-BQ9^2))*BT9</f>
        <v>7.3031485789142243</v>
      </c>
      <c r="BV9" s="254">
        <f>(((BU9/386.4)*(BP9^2+BQ9^2))/8)</f>
        <v>1.1073855007052675E-2</v>
      </c>
      <c r="BW9" s="255">
        <f ca="1">Ratio</f>
        <v>11.111000000000001</v>
      </c>
      <c r="BX9" s="256">
        <f ca="1">(BV9/(BW9^2))</f>
        <v>8.9700019548547621E-5</v>
      </c>
      <c r="BZ9" s="250" t="s">
        <v>580</v>
      </c>
      <c r="CA9" s="251">
        <v>2.165</v>
      </c>
      <c r="CB9" s="251">
        <v>0</v>
      </c>
      <c r="CC9" s="251">
        <v>7.01</v>
      </c>
      <c r="CD9" s="251">
        <v>0.28299999999999997</v>
      </c>
      <c r="CE9" s="257">
        <v>1</v>
      </c>
      <c r="CF9" s="253">
        <f>((PI()*CC9*CD9/4)*(CA9^2-CB9^2))*CE9</f>
        <v>7.3031485789142243</v>
      </c>
      <c r="CG9" s="254">
        <f>(((CF9/386.4)*(CA9^2+CB9^2))/8)</f>
        <v>1.1073855007052675E-2</v>
      </c>
      <c r="CH9" s="255">
        <f ca="1">Ratio</f>
        <v>11.111000000000001</v>
      </c>
      <c r="CI9" s="256">
        <f ca="1">(CG9/(CH9^2))</f>
        <v>8.9700019548547621E-5</v>
      </c>
      <c r="CK9" s="250" t="s">
        <v>580</v>
      </c>
      <c r="CL9" s="251">
        <v>2.165</v>
      </c>
      <c r="CM9" s="251">
        <v>0</v>
      </c>
      <c r="CN9" s="251">
        <v>8.18</v>
      </c>
      <c r="CO9" s="251">
        <v>0.28299999999999997</v>
      </c>
      <c r="CP9" s="257">
        <v>1</v>
      </c>
      <c r="CQ9" s="253">
        <f>((PI()*CN9*CO9/4)*(CL9^2-CM9^2))*CP9</f>
        <v>8.522076373112462</v>
      </c>
      <c r="CR9" s="254">
        <f>(((CQ9/386.4)*(CL9^2+CM9^2))/8)</f>
        <v>1.2922130379128512E-2</v>
      </c>
      <c r="CS9" s="255">
        <f ca="1">Ratio</f>
        <v>11.111000000000001</v>
      </c>
      <c r="CT9" s="256">
        <f ca="1">(CR9/(CS9^2))</f>
        <v>1.0467134948746355E-4</v>
      </c>
      <c r="CV9" s="250"/>
      <c r="CW9" s="255">
        <v>2</v>
      </c>
      <c r="CX9" s="339">
        <v>0</v>
      </c>
      <c r="CY9" s="339">
        <v>3.52</v>
      </c>
      <c r="CZ9" s="251">
        <v>0.28299999999999997</v>
      </c>
      <c r="DA9" s="257">
        <v>1</v>
      </c>
      <c r="DB9" s="340">
        <f>((PI()*CY9*CZ9/4)*(CW9^2-CX9^2))*DA9</f>
        <v>3.129528937800008</v>
      </c>
      <c r="DC9" s="254">
        <f>(((DB9/386.4)*(CW9^2+CX9^2))/8)</f>
        <v>4.0495974868012524E-3</v>
      </c>
      <c r="DD9" s="255">
        <f ca="1">Ratio</f>
        <v>11.111000000000001</v>
      </c>
      <c r="DE9" s="256">
        <f ca="1">(DC9/(DD9^2))</f>
        <v>3.280239568772365E-5</v>
      </c>
      <c r="DG9" s="250"/>
      <c r="DH9" s="339">
        <v>2</v>
      </c>
      <c r="DI9" s="339">
        <v>0</v>
      </c>
      <c r="DJ9" s="339">
        <v>3.52</v>
      </c>
      <c r="DK9" s="254">
        <v>0.28299999999999997</v>
      </c>
      <c r="DL9" s="257">
        <v>1</v>
      </c>
      <c r="DM9" s="340">
        <f>((PI()*DJ9*DK9/4)*(DH9^2-DI9^2))*DL9</f>
        <v>3.129528937800008</v>
      </c>
      <c r="DN9" s="254">
        <f>(((DM9/386.4)*(DH9^2+DI9^2))/8)</f>
        <v>4.0495974868012524E-3</v>
      </c>
      <c r="DO9" s="255">
        <f ca="1">Ratio</f>
        <v>11.111000000000001</v>
      </c>
      <c r="DP9" s="256">
        <f ca="1">(DN9/(DO9^2))</f>
        <v>3.280239568772365E-5</v>
      </c>
      <c r="DR9" s="250"/>
      <c r="DS9" s="341">
        <v>2</v>
      </c>
      <c r="DT9" s="341">
        <v>0</v>
      </c>
      <c r="DU9" s="258">
        <v>3.52</v>
      </c>
      <c r="DV9" s="251">
        <v>0.28299999999999997</v>
      </c>
      <c r="DW9" s="257">
        <v>1</v>
      </c>
      <c r="DX9" s="340">
        <f>((PI()*DU9*DV9/4)*(DS9^2-DT9^2))*DW9</f>
        <v>3.129528937800008</v>
      </c>
      <c r="DY9" s="254">
        <f>(((DX9/386.4)*(DS9^2+DT9^2))/8)</f>
        <v>4.0495974868012524E-3</v>
      </c>
      <c r="DZ9" s="341">
        <f ca="1">Ratio</f>
        <v>11.111000000000001</v>
      </c>
      <c r="EA9" s="256">
        <f ca="1">(DY9/(DZ9^2))</f>
        <v>3.280239568772365E-5</v>
      </c>
    </row>
    <row r="10" spans="1:131" ht="15.75" x14ac:dyDescent="0.25">
      <c r="A10" s="250" t="s">
        <v>582</v>
      </c>
      <c r="B10" s="251">
        <v>2.25</v>
      </c>
      <c r="C10" s="251">
        <v>0</v>
      </c>
      <c r="D10" s="251">
        <f ca="1">VALUE(Width)+2.5</f>
        <v>44.5</v>
      </c>
      <c r="E10" s="251">
        <v>0.28299999999999997</v>
      </c>
      <c r="F10" s="257">
        <v>1</v>
      </c>
      <c r="G10" s="253">
        <f ca="1">((PI()*D10*E10/4)*(B10^2-C10^2))*F10</f>
        <v>50.072740839400439</v>
      </c>
      <c r="H10" s="254">
        <f ca="1">(((G10/386.4)*(B10^2+C10^2))/8)</f>
        <v>8.2004804121203659E-2</v>
      </c>
      <c r="I10" s="255">
        <f ca="1">Ratio</f>
        <v>11.111000000000001</v>
      </c>
      <c r="J10" s="256">
        <f ca="1">(H10/(I10^2))</f>
        <v>6.642521983592915E-4</v>
      </c>
      <c r="L10" s="250" t="s">
        <v>582</v>
      </c>
      <c r="M10" s="251">
        <v>2.25</v>
      </c>
      <c r="N10" s="251">
        <v>0</v>
      </c>
      <c r="O10" s="251">
        <f ca="1">VALUE(Width)+2.5</f>
        <v>44.5</v>
      </c>
      <c r="P10" s="251">
        <v>0.28299999999999997</v>
      </c>
      <c r="Q10" s="257">
        <v>1</v>
      </c>
      <c r="R10" s="253">
        <f ca="1">((PI()*P10*O10/4)*(M10^2-N10^2))*Q10</f>
        <v>50.072740839400424</v>
      </c>
      <c r="S10" s="254">
        <f ca="1">(((R10/386.4)*(M10^2+N10^2))/8)</f>
        <v>8.2004804121203631E-2</v>
      </c>
      <c r="T10" s="255">
        <f ca="1">Ratio</f>
        <v>11.111000000000001</v>
      </c>
      <c r="U10" s="256">
        <f ca="1">(S10/(T10^2))</f>
        <v>6.6425219835929128E-4</v>
      </c>
      <c r="W10" s="250" t="s">
        <v>582</v>
      </c>
      <c r="X10" s="251">
        <v>2.625</v>
      </c>
      <c r="Y10" s="251">
        <v>0</v>
      </c>
      <c r="Z10" s="251">
        <f ca="1">VALUE(Width)+2.5</f>
        <v>44.5</v>
      </c>
      <c r="AA10" s="251">
        <v>0.28299999999999997</v>
      </c>
      <c r="AB10" s="257">
        <v>1</v>
      </c>
      <c r="AC10" s="253">
        <f ca="1">((PI()*Z10*AA10/4)*(X10^2-Y10^2))*AB10</f>
        <v>68.154563920295033</v>
      </c>
      <c r="AD10" s="254">
        <f ca="1">(((AC10/386.4)*(X10^2+Y10^2))/8)</f>
        <v>0.15192402368442126</v>
      </c>
      <c r="AE10" s="255">
        <f ca="1">Ratio</f>
        <v>11.111000000000001</v>
      </c>
      <c r="AF10" s="256">
        <f ca="1">(AD10/(AE10^2))</f>
        <v>1.2306092039048291E-3</v>
      </c>
      <c r="AH10" s="250" t="s">
        <v>582</v>
      </c>
      <c r="AI10" s="251">
        <v>2.625</v>
      </c>
      <c r="AJ10" s="251">
        <v>0</v>
      </c>
      <c r="AK10" s="251">
        <f ca="1">VALUE(Width)+2.5</f>
        <v>44.5</v>
      </c>
      <c r="AL10" s="251">
        <v>0.28299999999999997</v>
      </c>
      <c r="AM10" s="257">
        <v>1</v>
      </c>
      <c r="AN10" s="253">
        <f ca="1">((PI()*AK10*AL10/4)*(AI10^2-AJ10^2))*AM10</f>
        <v>68.154563920295033</v>
      </c>
      <c r="AO10" s="254">
        <f ca="1">(((AN10/386.4)*(AI10^2+AJ10^2))/8)</f>
        <v>0.15192402368442126</v>
      </c>
      <c r="AP10" s="255">
        <f ca="1">Ratio</f>
        <v>11.111000000000001</v>
      </c>
      <c r="AQ10" s="256">
        <f ca="1">(AO10/(AP10^2))</f>
        <v>1.2306092039048291E-3</v>
      </c>
      <c r="AS10" s="250"/>
      <c r="AT10" s="251"/>
      <c r="AU10" s="251"/>
      <c r="AV10" s="251"/>
      <c r="AW10" s="251"/>
      <c r="AX10" s="245"/>
      <c r="AY10" s="253"/>
      <c r="AZ10" s="254"/>
      <c r="BA10" s="251"/>
      <c r="BB10" s="256"/>
      <c r="BD10" s="250"/>
      <c r="BE10" s="251"/>
      <c r="BF10" s="251"/>
      <c r="BG10" s="251"/>
      <c r="BH10" s="251"/>
      <c r="BI10" s="245"/>
      <c r="BJ10" s="253"/>
      <c r="BK10" s="254"/>
      <c r="BL10" s="251"/>
      <c r="BM10" s="245"/>
      <c r="BO10" s="250"/>
      <c r="BP10" s="251"/>
      <c r="BQ10" s="251"/>
      <c r="BR10" s="251"/>
      <c r="BS10" s="251"/>
      <c r="BT10" s="245"/>
      <c r="BU10" s="253"/>
      <c r="BV10" s="254"/>
      <c r="BW10" s="245"/>
      <c r="BX10" s="245"/>
      <c r="BZ10" s="250"/>
      <c r="CA10" s="251"/>
      <c r="CB10" s="251"/>
      <c r="CC10" s="251"/>
      <c r="CD10" s="251"/>
      <c r="CE10" s="245"/>
      <c r="CF10" s="253"/>
      <c r="CG10" s="254"/>
      <c r="CH10" s="245"/>
      <c r="CI10" s="245"/>
      <c r="CK10" s="250"/>
      <c r="CL10" s="251"/>
      <c r="CM10" s="251"/>
      <c r="CN10" s="251"/>
      <c r="CO10" s="251"/>
      <c r="CP10" s="245"/>
      <c r="CQ10" s="253"/>
      <c r="CR10" s="254"/>
      <c r="CS10" s="245"/>
      <c r="CT10" s="245"/>
      <c r="CV10" s="250"/>
      <c r="CW10" s="245"/>
      <c r="CX10" s="339"/>
      <c r="CY10" s="339"/>
      <c r="CZ10" s="245"/>
      <c r="DA10" s="245"/>
      <c r="DB10" s="340"/>
      <c r="DC10" s="254"/>
      <c r="DD10" s="255"/>
      <c r="DE10" s="256"/>
      <c r="DG10" s="250"/>
      <c r="DH10" s="339"/>
      <c r="DI10" s="339"/>
      <c r="DJ10" s="339"/>
      <c r="DK10" s="254"/>
      <c r="DL10" s="245"/>
      <c r="DM10" s="340"/>
      <c r="DN10" s="254"/>
      <c r="DO10" s="255"/>
      <c r="DP10" s="256"/>
      <c r="DR10" s="250"/>
      <c r="DS10" s="258"/>
      <c r="DT10" s="258"/>
      <c r="DU10" s="258"/>
      <c r="DV10" s="245"/>
      <c r="DW10" s="245"/>
      <c r="DX10" s="340"/>
      <c r="DY10" s="254"/>
      <c r="DZ10" s="341"/>
      <c r="EA10" s="256"/>
    </row>
    <row r="11" spans="1:131" ht="15.75" x14ac:dyDescent="0.25">
      <c r="A11" s="250" t="s">
        <v>580</v>
      </c>
      <c r="B11" s="251">
        <v>1</v>
      </c>
      <c r="C11" s="251">
        <v>0</v>
      </c>
      <c r="D11" s="251">
        <v>5.5</v>
      </c>
      <c r="E11" s="251">
        <v>0.28299999999999997</v>
      </c>
      <c r="F11" s="257">
        <v>1</v>
      </c>
      <c r="G11" s="253">
        <f>((PI()*D11*E11/4)*(B11^2-C11^2))*F11</f>
        <v>1.2224722413281279</v>
      </c>
      <c r="H11" s="254">
        <f>(((G11/386.4)*(B11^2+C11^2))/8)</f>
        <v>3.9546850457043481E-4</v>
      </c>
      <c r="I11" s="255">
        <f ca="1">Ratio</f>
        <v>11.111000000000001</v>
      </c>
      <c r="J11" s="256">
        <f ca="1">(H11/(I11^2))</f>
        <v>3.2033589538792632E-6</v>
      </c>
      <c r="L11" s="250" t="s">
        <v>580</v>
      </c>
      <c r="M11" s="251">
        <v>1</v>
      </c>
      <c r="N11" s="251">
        <v>0</v>
      </c>
      <c r="O11" s="251">
        <v>5.5</v>
      </c>
      <c r="P11" s="251">
        <v>0.28299999999999997</v>
      </c>
      <c r="Q11" s="257">
        <v>1</v>
      </c>
      <c r="R11" s="253">
        <f>((PI()*P11*O11/4)*(M11^2-N11^2))*Q11</f>
        <v>1.2224722413281282</v>
      </c>
      <c r="S11" s="254">
        <f>(((R11/386.4)*(M11^2+N11^2))/8)</f>
        <v>3.9546850457043486E-4</v>
      </c>
      <c r="T11" s="255">
        <f ca="1">Ratio</f>
        <v>11.111000000000001</v>
      </c>
      <c r="U11" s="256">
        <f ca="1">(S11/(T11^2))</f>
        <v>3.2033589538792636E-6</v>
      </c>
      <c r="W11" s="250" t="s">
        <v>580</v>
      </c>
      <c r="X11" s="251">
        <v>1</v>
      </c>
      <c r="Y11" s="251">
        <v>0</v>
      </c>
      <c r="Z11" s="251">
        <v>5.5</v>
      </c>
      <c r="AA11" s="251">
        <v>0.28299999999999997</v>
      </c>
      <c r="AB11" s="257">
        <v>1</v>
      </c>
      <c r="AC11" s="253">
        <f>((PI()*Z11*AA11/4)*(X11^2-Y11^2))*AB11</f>
        <v>1.2224722413281279</v>
      </c>
      <c r="AD11" s="254">
        <f>(((AC11/386.4)*(X11^2+Y11^2))/8)</f>
        <v>3.9546850457043481E-4</v>
      </c>
      <c r="AE11" s="255">
        <f ca="1">Ratio</f>
        <v>11.111000000000001</v>
      </c>
      <c r="AF11" s="256">
        <f ca="1">(AD11/(AE11^2))</f>
        <v>3.2033589538792632E-6</v>
      </c>
      <c r="AH11" s="250" t="s">
        <v>580</v>
      </c>
      <c r="AI11" s="251">
        <v>1</v>
      </c>
      <c r="AJ11" s="251">
        <v>0</v>
      </c>
      <c r="AK11" s="251">
        <v>5.5</v>
      </c>
      <c r="AL11" s="251">
        <v>0.28299999999999997</v>
      </c>
      <c r="AM11" s="257">
        <v>1</v>
      </c>
      <c r="AN11" s="253">
        <f>((PI()*AK11*AL11/4)*(AI11^2-AJ11^2))*AM11</f>
        <v>1.2224722413281279</v>
      </c>
      <c r="AO11" s="254">
        <f>(((AN11/386.4)*(AI11^2+AJ11^2))/8)</f>
        <v>3.9546850457043481E-4</v>
      </c>
      <c r="AP11" s="255">
        <f ca="1">Ratio</f>
        <v>11.111000000000001</v>
      </c>
      <c r="AQ11" s="256">
        <f ca="1">(AO11/(AP11^2))</f>
        <v>3.2033589538792632E-6</v>
      </c>
      <c r="AS11" s="250" t="s">
        <v>583</v>
      </c>
      <c r="AT11" s="251">
        <v>3</v>
      </c>
      <c r="AU11" s="251">
        <v>0</v>
      </c>
      <c r="AV11" s="251">
        <f ca="1">IF( RollWidth="Y",VALUE(Width) + 0.5,VALUE(Width)*0.5)</f>
        <v>42.5</v>
      </c>
      <c r="AW11" s="251">
        <v>0.28299999999999997</v>
      </c>
      <c r="AX11" s="257">
        <v>1</v>
      </c>
      <c r="AY11" s="253">
        <f ca="1">((PI()*AV11*AW11/4)*(AT11^2-AU11^2))*AX11</f>
        <v>85.017387692365276</v>
      </c>
      <c r="AZ11" s="254">
        <f ca="1">(((AY11/386.4)*(AT11^2+AU11^2))/8)</f>
        <v>0.24752733217885853</v>
      </c>
      <c r="BA11" s="251">
        <f ca="1">Ratio</f>
        <v>11.111000000000001</v>
      </c>
      <c r="BB11" s="256">
        <f ca="1">(AZ11/(BA11^2))</f>
        <v>2.005011490678066E-3</v>
      </c>
      <c r="BD11" s="250" t="s">
        <v>583</v>
      </c>
      <c r="BE11" s="251">
        <v>3</v>
      </c>
      <c r="BF11" s="251">
        <v>0</v>
      </c>
      <c r="BG11" s="251">
        <f ca="1">IF( RollWidth="Y",VALUE(Width) + 0.5,VALUE(Width)*0.5)</f>
        <v>42.5</v>
      </c>
      <c r="BH11" s="251">
        <v>0.28299999999999997</v>
      </c>
      <c r="BI11" s="257">
        <v>1</v>
      </c>
      <c r="BJ11" s="253">
        <f ca="1">((PI()*BG11*BH11/4)*(BE11^2-BF11^2))*BI11</f>
        <v>85.017387692365276</v>
      </c>
      <c r="BK11" s="254">
        <f ca="1">(((BJ11/386.4)*(BE11^2+BF11^2))/8)</f>
        <v>0.24752733217885853</v>
      </c>
      <c r="BL11" s="251">
        <f ca="1">Ratio</f>
        <v>11.111000000000001</v>
      </c>
      <c r="BM11" s="256">
        <f ca="1">(BK11/(BL11^2))</f>
        <v>2.005011490678066E-3</v>
      </c>
      <c r="BO11" s="250" t="s">
        <v>583</v>
      </c>
      <c r="BP11" s="251">
        <v>4</v>
      </c>
      <c r="BQ11" s="251">
        <v>0</v>
      </c>
      <c r="BR11" s="251">
        <f ca="1">IF( RollWidth="Y",VALUE(Width) + 0.5,VALUE(Width)*0.5)</f>
        <v>42.5</v>
      </c>
      <c r="BS11" s="251">
        <v>0.28299999999999997</v>
      </c>
      <c r="BT11" s="257">
        <v>1</v>
      </c>
      <c r="BU11" s="253">
        <f ca="1">((PI()*BR11*BS11/4)*(BP11^2-BQ11^2))*BT11</f>
        <v>151.14202256420492</v>
      </c>
      <c r="BV11" s="254">
        <f ca="1">(((BU11/386.4)*(BP11^2+BQ11^2))/8)</f>
        <v>0.78230860540478742</v>
      </c>
      <c r="BW11" s="255">
        <f ca="1">Ratio</f>
        <v>11.111000000000001</v>
      </c>
      <c r="BX11" s="256">
        <f ca="1">(BV11/(BW11^2))</f>
        <v>6.3368264396738878E-3</v>
      </c>
      <c r="BZ11" s="250" t="s">
        <v>583</v>
      </c>
      <c r="CA11" s="251">
        <v>4</v>
      </c>
      <c r="CB11" s="251">
        <v>0</v>
      </c>
      <c r="CC11" s="251">
        <f ca="1">IF( RollWidth="Y",VALUE(Width) + 0.5,VALUE(Width)*0.5)</f>
        <v>42.5</v>
      </c>
      <c r="CD11" s="251">
        <v>0.28299999999999997</v>
      </c>
      <c r="CE11" s="257">
        <v>1</v>
      </c>
      <c r="CF11" s="253">
        <f ca="1">((PI()*CC11*CD11/4)*(CA11^2-CB11^2))*CE11</f>
        <v>151.14202256420492</v>
      </c>
      <c r="CG11" s="254">
        <f ca="1">(((CF11/386.4)*(CA11^2+CB11^2))/8)</f>
        <v>0.78230860540478742</v>
      </c>
      <c r="CH11" s="255">
        <f ca="1">Ratio</f>
        <v>11.111000000000001</v>
      </c>
      <c r="CI11" s="256">
        <f ca="1">(CG11/(CH11^2))</f>
        <v>6.3368264396738878E-3</v>
      </c>
      <c r="CK11" s="250" t="s">
        <v>583</v>
      </c>
      <c r="CL11" s="251">
        <v>5</v>
      </c>
      <c r="CM11" s="251">
        <v>0</v>
      </c>
      <c r="CN11" s="251">
        <f ca="1">IF( RollWidth="Y",VALUE(Width) + 1,VALUE(Width)*0.5)</f>
        <v>43</v>
      </c>
      <c r="CO11" s="251">
        <v>0.28299999999999997</v>
      </c>
      <c r="CP11" s="257">
        <v>1</v>
      </c>
      <c r="CQ11" s="253">
        <f ca="1">((PI()*CN11*CO11/4)*(CL11^2-CM11^2))*CP11</f>
        <v>238.9377562595887</v>
      </c>
      <c r="CR11" s="254">
        <f ca="1">(((CQ11/386.4)*(CL11^2+CM11^2))/8)</f>
        <v>1.9324029200600796</v>
      </c>
      <c r="CS11" s="255">
        <f ca="1">Ratio</f>
        <v>11.111000000000001</v>
      </c>
      <c r="CT11" s="256">
        <f ca="1">(CR11/(CS11^2))</f>
        <v>1.5652776706455495E-2</v>
      </c>
      <c r="CV11" s="250" t="s">
        <v>582</v>
      </c>
      <c r="CW11" s="255">
        <v>6</v>
      </c>
      <c r="CX11" s="339">
        <v>0</v>
      </c>
      <c r="CY11" s="339">
        <f ca="1">IF(RollWidth="Y",VALUE(Width)+1,VALUE(Width)*0.5)</f>
        <v>43</v>
      </c>
      <c r="CZ11" s="251">
        <v>0.28299999999999997</v>
      </c>
      <c r="DA11" s="257">
        <v>1</v>
      </c>
      <c r="DB11" s="340">
        <f ca="1">((PI()*CY11*CZ11/4)*(CW11^2-CX11^2))*DA11</f>
        <v>344.07036901380769</v>
      </c>
      <c r="DC11" s="254">
        <f ca="1">(((DB11/386.4)*(CW11^2+CX11^2))/8)</f>
        <v>4.0070306950365806</v>
      </c>
      <c r="DD11" s="255">
        <f ca="1">Ratio</f>
        <v>11.111000000000001</v>
      </c>
      <c r="DE11" s="256">
        <f ca="1">(DC11/(DD11^2))</f>
        <v>3.2457597778506105E-2</v>
      </c>
      <c r="DG11" s="250" t="s">
        <v>582</v>
      </c>
      <c r="DH11" s="339">
        <v>7</v>
      </c>
      <c r="DI11" s="339">
        <v>0</v>
      </c>
      <c r="DJ11" s="339">
        <f ca="1">IF(RollWidth="Y",VALUE(Width)+1,VALUE(Width)*0.5)</f>
        <v>43</v>
      </c>
      <c r="DK11" s="254">
        <v>0.28299999999999997</v>
      </c>
      <c r="DL11" s="257">
        <v>1</v>
      </c>
      <c r="DM11" s="340">
        <f ca="1">((PI()*DJ11*DK11/4)*(DH11^2-DI11^2))*DL11</f>
        <v>468.3180022687938</v>
      </c>
      <c r="DN11" s="254">
        <f ca="1">(((DM11/386.4)*(DH11^2+DI11^2))/8)</f>
        <v>7.4235190577028014</v>
      </c>
      <c r="DO11" s="255">
        <f ca="1">Ratio</f>
        <v>11.111000000000001</v>
      </c>
      <c r="DP11" s="256">
        <f ca="1">(DN11/(DO11^2))</f>
        <v>6.0131706995519424E-2</v>
      </c>
      <c r="DR11" s="250" t="s">
        <v>582</v>
      </c>
      <c r="DS11" s="341">
        <v>8</v>
      </c>
      <c r="DT11" s="341">
        <v>0</v>
      </c>
      <c r="DU11" s="342">
        <f ca="1">IF(RollWidth="Y",VALUE(Width)+1,VALUE(Width)*0.5)</f>
        <v>43</v>
      </c>
      <c r="DV11" s="251">
        <v>0.28299999999999997</v>
      </c>
      <c r="DW11" s="257">
        <v>1</v>
      </c>
      <c r="DX11" s="340">
        <f t="shared" ref="DX11:DX16" ca="1" si="0">((PI()*DU11*DV11/4)*(DS11^2-DT11^2))*DW11</f>
        <v>611.68065602454703</v>
      </c>
      <c r="DY11" s="254">
        <f t="shared" ref="DY11:DY16" ca="1" si="1">(((DX11/386.4)*(DS11^2+DT11^2))/8)</f>
        <v>12.664195776905736</v>
      </c>
      <c r="DZ11" s="341">
        <f t="shared" ref="DZ11:DZ16" ca="1" si="2">Ratio</f>
        <v>11.111000000000001</v>
      </c>
      <c r="EA11" s="256">
        <f t="shared" ref="EA11:EA16" ca="1" si="3">(DY11/(DZ11^2))</f>
        <v>0.10258203742342671</v>
      </c>
    </row>
    <row r="12" spans="1:131" ht="15.75" x14ac:dyDescent="0.25">
      <c r="A12" s="250"/>
      <c r="B12" s="251"/>
      <c r="C12" s="251"/>
      <c r="D12" s="251"/>
      <c r="E12" s="251"/>
      <c r="F12" s="245"/>
      <c r="G12" s="253"/>
      <c r="H12" s="254"/>
      <c r="I12" s="245"/>
      <c r="J12" s="256"/>
      <c r="L12" s="250"/>
      <c r="M12" s="251"/>
      <c r="N12" s="251"/>
      <c r="O12" s="251"/>
      <c r="P12" s="251"/>
      <c r="Q12" s="245"/>
      <c r="R12" s="253"/>
      <c r="S12" s="254"/>
      <c r="T12" s="245"/>
      <c r="U12" s="256"/>
      <c r="W12" s="250"/>
      <c r="X12" s="251"/>
      <c r="Y12" s="251"/>
      <c r="Z12" s="251"/>
      <c r="AA12" s="251"/>
      <c r="AB12" s="245"/>
      <c r="AC12" s="253"/>
      <c r="AD12" s="254"/>
      <c r="AE12" s="245"/>
      <c r="AF12" s="256"/>
      <c r="AH12" s="250"/>
      <c r="AI12" s="251"/>
      <c r="AJ12" s="251"/>
      <c r="AK12" s="251"/>
      <c r="AL12" s="251"/>
      <c r="AM12" s="245"/>
      <c r="AN12" s="253"/>
      <c r="AO12" s="254"/>
      <c r="AP12" s="245"/>
      <c r="AQ12" s="245"/>
      <c r="AS12" s="250" t="s">
        <v>581</v>
      </c>
      <c r="AT12" s="251">
        <v>2.25</v>
      </c>
      <c r="AU12" s="251">
        <v>0</v>
      </c>
      <c r="AV12" s="251">
        <f ca="1">IF(RollWidth="Y",6.14,VALUE(Width)*0.5)</f>
        <v>6.14</v>
      </c>
      <c r="AW12" s="251">
        <v>0.28299999999999997</v>
      </c>
      <c r="AX12" s="257">
        <v>1</v>
      </c>
      <c r="AY12" s="253">
        <f ca="1">((PI()*AV12*AW12/4)*(AT12^2-AU12^2))*AX12</f>
        <v>6.9089130057060366</v>
      </c>
      <c r="AZ12" s="254">
        <f ca="1">(((AY12/386.4)*(AT12^2+AU12^2))/8)</f>
        <v>1.131482016413911E-2</v>
      </c>
      <c r="BA12" s="251">
        <f ca="1">Ratio</f>
        <v>11.111000000000001</v>
      </c>
      <c r="BB12" s="256">
        <f ca="1">(AZ12/(BA12^2))</f>
        <v>9.1651876357888744E-5</v>
      </c>
      <c r="BD12" s="250" t="s">
        <v>581</v>
      </c>
      <c r="BE12" s="251">
        <v>2.25</v>
      </c>
      <c r="BF12" s="251">
        <v>0</v>
      </c>
      <c r="BG12" s="251">
        <f ca="1">IF(RollWidth="Y",6.14,VALUE(Width)*0.5)</f>
        <v>6.14</v>
      </c>
      <c r="BH12" s="251">
        <v>0.28299999999999997</v>
      </c>
      <c r="BI12" s="257">
        <v>1</v>
      </c>
      <c r="BJ12" s="253">
        <f ca="1">((PI()*BG12*BH12/4)*(BE12^2-BF12^2))*BI12</f>
        <v>6.9089130057060366</v>
      </c>
      <c r="BK12" s="254">
        <f ca="1">(((BJ12/386.4)*(BE12^2+BF12^2))/8)</f>
        <v>1.131482016413911E-2</v>
      </c>
      <c r="BL12" s="251">
        <f ca="1">Ratio</f>
        <v>11.111000000000001</v>
      </c>
      <c r="BM12" s="256">
        <f ca="1">(BK12/(BL12^2))</f>
        <v>9.1651876357888744E-5</v>
      </c>
      <c r="BO12" s="250" t="s">
        <v>581</v>
      </c>
      <c r="BP12" s="251">
        <v>3.25</v>
      </c>
      <c r="BQ12" s="251">
        <v>0</v>
      </c>
      <c r="BR12" s="251">
        <f ca="1">IF(RollWidth="Y",4.24,VALUE(Width)*0.5+4.74)</f>
        <v>4.24</v>
      </c>
      <c r="BS12" s="251">
        <v>0.28299999999999997</v>
      </c>
      <c r="BT12" s="257">
        <v>1</v>
      </c>
      <c r="BU12" s="253">
        <f ca="1">((PI()*BR12*BS12/4)*(BP12^2-BQ12^2))*BT12</f>
        <v>9.9542580596145864</v>
      </c>
      <c r="BV12" s="254">
        <f ca="1">(((BU12/386.4)*(BP12^2+BQ12^2))/8)</f>
        <v>3.4013279876643078E-2</v>
      </c>
      <c r="BW12" s="255">
        <f ca="1">Ratio</f>
        <v>11.111000000000001</v>
      </c>
      <c r="BX12" s="256">
        <f ca="1">(BV12/(BW12^2))</f>
        <v>2.7551307723480228E-4</v>
      </c>
      <c r="BZ12" s="250" t="s">
        <v>581</v>
      </c>
      <c r="CA12" s="251">
        <v>3.25</v>
      </c>
      <c r="CB12" s="251">
        <v>0</v>
      </c>
      <c r="CC12" s="251">
        <f ca="1">IF(RollWidth="Y",4.24,VALUE(Width)*0.5+4.74)</f>
        <v>4.24</v>
      </c>
      <c r="CD12" s="251">
        <v>0.28299999999999997</v>
      </c>
      <c r="CE12" s="257">
        <v>1</v>
      </c>
      <c r="CF12" s="253">
        <f ca="1">((PI()*CC12*CD12/4)*(CA12^2-CB12^2))*CE12</f>
        <v>9.9542580596145864</v>
      </c>
      <c r="CG12" s="254">
        <f ca="1">(((CF12/386.4)*(CA12^2+CB12^2))/8)</f>
        <v>3.4013279876643078E-2</v>
      </c>
      <c r="CH12" s="255">
        <f ca="1">Ratio</f>
        <v>11.111000000000001</v>
      </c>
      <c r="CI12" s="256">
        <f ca="1">(CG12/(CH12^2))</f>
        <v>2.7551307723480228E-4</v>
      </c>
      <c r="CK12" s="250" t="s">
        <v>581</v>
      </c>
      <c r="CL12" s="251">
        <v>4</v>
      </c>
      <c r="CM12" s="251">
        <v>0</v>
      </c>
      <c r="CN12" s="251">
        <f ca="1">IF(RollWidth="Y",3.906,VALUE(Width)*0.5+5.657)</f>
        <v>3.9060000000000001</v>
      </c>
      <c r="CO12" s="251">
        <v>0.28299999999999997</v>
      </c>
      <c r="CP12" s="257">
        <v>1</v>
      </c>
      <c r="CQ12" s="253">
        <f ca="1">((PI()*CN12*CO12/4)*(CL12^2-CM12^2))*CP12</f>
        <v>13.8908409443714</v>
      </c>
      <c r="CR12" s="254">
        <f ca="1">(((CQ12/386.4)*(CL12^2+CM12^2))/8)</f>
        <v>7.1898762652025883E-2</v>
      </c>
      <c r="CS12" s="255">
        <f ca="1">Ratio</f>
        <v>11.111000000000001</v>
      </c>
      <c r="CT12" s="256">
        <f ca="1">(CR12/(CS12^2))</f>
        <v>5.823916252556755E-4</v>
      </c>
      <c r="CV12" s="250"/>
      <c r="CW12" s="255">
        <v>4.5</v>
      </c>
      <c r="CX12" s="339">
        <v>0</v>
      </c>
      <c r="CY12" s="339">
        <f ca="1">IF(RollWidth="Y",4.92,(VALUE(Width)+5.92)-(VALUE(Width)*0.5))</f>
        <v>4.92</v>
      </c>
      <c r="CZ12" s="251">
        <v>0.28299999999999997</v>
      </c>
      <c r="DA12" s="257">
        <v>1</v>
      </c>
      <c r="DB12" s="340">
        <f ca="1">((PI()*CY12*CZ12/4)*(CW12^2-CX12^2))*DA12</f>
        <v>22.144528982458439</v>
      </c>
      <c r="DC12" s="254">
        <f ca="1">(((DB12/386.4)*(CW12^2+CX12^2))/8)</f>
        <v>0.14506557708811574</v>
      </c>
      <c r="DD12" s="255">
        <f ca="1">Ratio</f>
        <v>11.111000000000001</v>
      </c>
      <c r="DE12" s="256">
        <f ca="1">(DC12/(DD12^2))</f>
        <v>1.1750546753897396E-3</v>
      </c>
      <c r="DG12" s="250"/>
      <c r="DH12" s="339">
        <v>6</v>
      </c>
      <c r="DI12" s="339">
        <v>0</v>
      </c>
      <c r="DJ12" s="339">
        <f ca="1">IF(RollWidth="Y",4.92,(VALUE(Width)+5.92)-(VALUE(Width)*0.5))</f>
        <v>4.92</v>
      </c>
      <c r="DK12" s="254">
        <v>0.28299999999999997</v>
      </c>
      <c r="DL12" s="257">
        <v>1</v>
      </c>
      <c r="DM12" s="340">
        <f ca="1">((PI()*DJ12*DK12/4)*(DH12^2-DI12^2))*DL12</f>
        <v>39.368051524370557</v>
      </c>
      <c r="DN12" s="254">
        <f ca="1">(((DM12/386.4)*(DH12^2+DI12^2))/8)</f>
        <v>0.45847886092046464</v>
      </c>
      <c r="DO12" s="255">
        <f ca="1">Ratio</f>
        <v>11.111000000000001</v>
      </c>
      <c r="DP12" s="256">
        <f ca="1">(DN12/(DO12^2))</f>
        <v>3.7137530481453503E-3</v>
      </c>
      <c r="DR12" s="250"/>
      <c r="DS12" s="341">
        <v>7</v>
      </c>
      <c r="DT12" s="341">
        <v>0</v>
      </c>
      <c r="DU12" s="342">
        <f ca="1">IF(RollWidth="Y",4.92,(VALUE(Width)+5.92)-(VALUE(Width)*0.5))</f>
        <v>4.92</v>
      </c>
      <c r="DV12" s="251">
        <v>0.28299999999999997</v>
      </c>
      <c r="DW12" s="257">
        <v>1</v>
      </c>
      <c r="DX12" s="340">
        <f t="shared" ca="1" si="0"/>
        <v>53.584292352615478</v>
      </c>
      <c r="DY12" s="254">
        <f t="shared" ca="1" si="1"/>
        <v>0.8493886921836693</v>
      </c>
      <c r="DZ12" s="341">
        <f t="shared" ca="1" si="2"/>
        <v>11.111000000000001</v>
      </c>
      <c r="EA12" s="256">
        <f t="shared" ca="1" si="3"/>
        <v>6.8801860097198958E-3</v>
      </c>
    </row>
    <row r="13" spans="1:131" ht="15.75" x14ac:dyDescent="0.25">
      <c r="A13" s="250" t="s">
        <v>584</v>
      </c>
      <c r="B13" s="251">
        <v>2</v>
      </c>
      <c r="C13" s="251">
        <v>1.25</v>
      </c>
      <c r="D13" s="251">
        <v>0.75</v>
      </c>
      <c r="E13" s="251">
        <v>0.28299999999999997</v>
      </c>
      <c r="F13" s="257">
        <v>2</v>
      </c>
      <c r="G13" s="253">
        <f>((PI()*D13*E13/4)*(B13^2-C13^2))*F13</f>
        <v>0.81266620588290339</v>
      </c>
      <c r="H13" s="254">
        <f>(((G13/386.4)*(B13^2+C13^2))/8)</f>
        <v>1.462362762106512E-3</v>
      </c>
      <c r="I13" s="255">
        <f ca="1">(B13/B14)*Ratio</f>
        <v>11.111000000000001</v>
      </c>
      <c r="J13" s="256">
        <f ca="1">(H13/(I13^2))</f>
        <v>1.1845375279383796E-5</v>
      </c>
      <c r="L13" s="250" t="s">
        <v>584</v>
      </c>
      <c r="M13" s="251">
        <v>2</v>
      </c>
      <c r="N13" s="251">
        <v>1.25</v>
      </c>
      <c r="O13" s="251">
        <v>0.75</v>
      </c>
      <c r="P13" s="251">
        <v>0.28299999999999997</v>
      </c>
      <c r="Q13" s="257">
        <v>2</v>
      </c>
      <c r="R13" s="253">
        <f>((PI()*P13*O13/4)*(M13^2-N13^2))*Q13</f>
        <v>0.81266620588290339</v>
      </c>
      <c r="S13" s="254">
        <f>(((R13/386.4)*(M13^2+N13^2))/8)</f>
        <v>1.462362762106512E-3</v>
      </c>
      <c r="T13" s="255">
        <f ca="1">(M13/M14)*Ratio</f>
        <v>11.111000000000001</v>
      </c>
      <c r="U13" s="256">
        <f ca="1">(S13/(T13^2))</f>
        <v>1.1845375279383796E-5</v>
      </c>
      <c r="W13" s="250" t="s">
        <v>584</v>
      </c>
      <c r="X13" s="251">
        <v>2</v>
      </c>
      <c r="Y13" s="251">
        <v>1.25</v>
      </c>
      <c r="Z13" s="251">
        <v>0.75</v>
      </c>
      <c r="AA13" s="251">
        <v>0.28299999999999997</v>
      </c>
      <c r="AB13" s="257">
        <v>2</v>
      </c>
      <c r="AC13" s="253">
        <f>((PI()*Z13*AA13/4)*(X13^2-Y13^2))*AB13</f>
        <v>0.81266620588290339</v>
      </c>
      <c r="AD13" s="254">
        <f>(((AC13/386.4)*(X13^2+Y13^2))/8)</f>
        <v>1.462362762106512E-3</v>
      </c>
      <c r="AE13" s="255">
        <f ca="1">(X13/X14)*Ratio</f>
        <v>11.111000000000001</v>
      </c>
      <c r="AF13" s="256">
        <f ca="1">(AD13/(AE13^2))</f>
        <v>1.1845375279383796E-5</v>
      </c>
      <c r="AH13" s="250" t="s">
        <v>584</v>
      </c>
      <c r="AI13" s="251">
        <v>2</v>
      </c>
      <c r="AJ13" s="251">
        <v>1.25</v>
      </c>
      <c r="AK13" s="251">
        <v>0.75</v>
      </c>
      <c r="AL13" s="251">
        <v>0.28299999999999997</v>
      </c>
      <c r="AM13" s="257">
        <v>2</v>
      </c>
      <c r="AN13" s="253">
        <f>((PI()*AK13*AL13/4)*(AI13^2-AJ13^2))*AM13</f>
        <v>0.81266620588290339</v>
      </c>
      <c r="AO13" s="254">
        <f>(((AN13/386.4)*(AI13^2+AJ13^2))/8)</f>
        <v>1.462362762106512E-3</v>
      </c>
      <c r="AP13" s="255">
        <f ca="1">(AI13/AI14)*Ratio</f>
        <v>11.111000000000001</v>
      </c>
      <c r="AQ13" s="256">
        <f ca="1">(AO13/(AP13^2))</f>
        <v>1.1845375279383796E-5</v>
      </c>
      <c r="AS13" s="250" t="s">
        <v>580</v>
      </c>
      <c r="AT13" s="251">
        <v>1.5745</v>
      </c>
      <c r="AU13" s="251">
        <v>0</v>
      </c>
      <c r="AV13" s="251">
        <v>7.76</v>
      </c>
      <c r="AW13" s="251">
        <v>0.28299999999999997</v>
      </c>
      <c r="AX13" s="257">
        <v>1</v>
      </c>
      <c r="AY13" s="253">
        <f>((PI()*AV13*AW13/4)*(AT13^2-AU13^2))*AX13</f>
        <v>4.275858926571753</v>
      </c>
      <c r="AZ13" s="254">
        <f>(((AY13/386.4)*(AT13^2+AU13^2))/8)</f>
        <v>3.429111393919008E-3</v>
      </c>
      <c r="BA13" s="251">
        <f ca="1">Ratio</f>
        <v>11.111000000000001</v>
      </c>
      <c r="BB13" s="256">
        <f ca="1">(AZ13/(BA13^2))</f>
        <v>2.7776357815122627E-5</v>
      </c>
      <c r="BD13" s="250" t="s">
        <v>580</v>
      </c>
      <c r="BE13" s="251">
        <v>1.5745</v>
      </c>
      <c r="BF13" s="251">
        <v>0</v>
      </c>
      <c r="BG13" s="251">
        <v>7.76</v>
      </c>
      <c r="BH13" s="251">
        <v>0.28299999999999997</v>
      </c>
      <c r="BI13" s="257">
        <v>1</v>
      </c>
      <c r="BJ13" s="253">
        <f>((PI()*BG13*BH13/4)*(BE13^2-BF13^2))*BI13</f>
        <v>4.275858926571753</v>
      </c>
      <c r="BK13" s="254">
        <f>(((BJ13/386.4)*(BE13^2+BF13^2))/8)</f>
        <v>3.429111393919008E-3</v>
      </c>
      <c r="BL13" s="251">
        <f ca="1">Ratio</f>
        <v>11.111000000000001</v>
      </c>
      <c r="BM13" s="256">
        <f ca="1">(BK13/(BL13^2))</f>
        <v>2.7776357815122627E-5</v>
      </c>
      <c r="BO13" s="250" t="s">
        <v>580</v>
      </c>
      <c r="BP13" s="251">
        <v>2.7549999999999999</v>
      </c>
      <c r="BQ13" s="251">
        <v>0</v>
      </c>
      <c r="BR13" s="251">
        <v>7.76</v>
      </c>
      <c r="BS13" s="251">
        <v>0.28299999999999997</v>
      </c>
      <c r="BT13" s="257">
        <v>1</v>
      </c>
      <c r="BU13" s="253">
        <f>((PI()*BR13*BS13/4)*(BP13^2-BQ13^2))*BT13</f>
        <v>13.091253857864626</v>
      </c>
      <c r="BV13" s="254">
        <f>(((BU13/386.4)*(BP13^2+BQ13^2))/8)</f>
        <v>3.2143809544040808E-2</v>
      </c>
      <c r="BW13" s="255">
        <f ca="1">Ratio</f>
        <v>11.111000000000001</v>
      </c>
      <c r="BX13" s="256">
        <f ca="1">(BV13/(BW13^2))</f>
        <v>2.6037006468198715E-4</v>
      </c>
      <c r="BZ13" s="250" t="s">
        <v>580</v>
      </c>
      <c r="CA13" s="251">
        <v>2.7549999999999999</v>
      </c>
      <c r="CB13" s="251">
        <v>0</v>
      </c>
      <c r="CC13" s="251">
        <v>7.76</v>
      </c>
      <c r="CD13" s="251">
        <v>0.28299999999999997</v>
      </c>
      <c r="CE13" s="257">
        <v>1</v>
      </c>
      <c r="CF13" s="253">
        <f>((PI()*CC13*CD13/4)*(CA13^2-CB13^2))*CE13</f>
        <v>13.091253857864626</v>
      </c>
      <c r="CG13" s="254">
        <f>(((CF13/386.4)*(CA13^2+CB13^2))/8)</f>
        <v>3.2143809544040808E-2</v>
      </c>
      <c r="CH13" s="255">
        <f ca="1">Ratio</f>
        <v>11.111000000000001</v>
      </c>
      <c r="CI13" s="256">
        <f ca="1">(CG13/(CH13^2))</f>
        <v>2.6037006468198715E-4</v>
      </c>
      <c r="CK13" s="250" t="s">
        <v>580</v>
      </c>
      <c r="CL13" s="251">
        <v>2.4359999999999999</v>
      </c>
      <c r="CM13" s="251">
        <v>0</v>
      </c>
      <c r="CN13" s="251">
        <f ca="1">IF(RollWidth="Y",16.75,10.968)</f>
        <v>16.75</v>
      </c>
      <c r="CO13" s="251">
        <v>0.28299999999999997</v>
      </c>
      <c r="CP13" s="257">
        <v>1</v>
      </c>
      <c r="CQ13" s="253">
        <f ca="1">((PI()*CN13*CO13/4)*(CL13^2-CM13^2))*CP13</f>
        <v>22.092542350191394</v>
      </c>
      <c r="CR13" s="254">
        <f ca="1">(((CQ13/386.4)*(CL13^2+CM13^2))/8)</f>
        <v>4.2410477222470676E-2</v>
      </c>
      <c r="CS13" s="255">
        <f ca="1">Ratio</f>
        <v>11.111000000000001</v>
      </c>
      <c r="CT13" s="256">
        <f ca="1">(CR13/(CS13^2))</f>
        <v>3.4353173610238131E-4</v>
      </c>
      <c r="CV13" s="250" t="s">
        <v>580</v>
      </c>
      <c r="CW13" s="255">
        <v>2.75</v>
      </c>
      <c r="CX13" s="339">
        <v>0</v>
      </c>
      <c r="CY13" s="339">
        <v>5.44</v>
      </c>
      <c r="CZ13" s="251">
        <v>0.28299999999999997</v>
      </c>
      <c r="DA13" s="257">
        <v>1</v>
      </c>
      <c r="DB13" s="340">
        <f>((PI()*CY13*CZ13/4)*(CW13^2-CX13^2))*DA13</f>
        <v>9.1440923651343997</v>
      </c>
      <c r="DC13" s="254">
        <f>(((DB13/386.4)*(CW13^2+CX13^2))/8)</f>
        <v>2.2370664632288078E-2</v>
      </c>
      <c r="DD13" s="255">
        <f ca="1">Ratio</f>
        <v>11.111000000000001</v>
      </c>
      <c r="DE13" s="256">
        <f ca="1">(DC13/(DD13^2))</f>
        <v>1.8120600762356527E-4</v>
      </c>
      <c r="DG13" s="250" t="s">
        <v>580</v>
      </c>
      <c r="DH13" s="339">
        <v>2</v>
      </c>
      <c r="DI13" s="339">
        <v>0</v>
      </c>
      <c r="DJ13" s="339">
        <v>3.52</v>
      </c>
      <c r="DK13" s="254">
        <v>0.28299999999999997</v>
      </c>
      <c r="DL13" s="257">
        <v>1</v>
      </c>
      <c r="DM13" s="340">
        <f>((PI()*DJ13*DK13/4)*(DH13^2-DI13^2))*DL13</f>
        <v>3.129528937800008</v>
      </c>
      <c r="DN13" s="254">
        <f>(((DM13/386.4)*(DH13^2+DI13^2))/8)</f>
        <v>4.0495974868012524E-3</v>
      </c>
      <c r="DO13" s="255">
        <f ca="1">Ratio</f>
        <v>11.111000000000001</v>
      </c>
      <c r="DP13" s="256">
        <f ca="1">(DN13/(DO13^2))</f>
        <v>3.280239568772365E-5</v>
      </c>
      <c r="DR13" s="250" t="s">
        <v>580</v>
      </c>
      <c r="DS13" s="341">
        <v>2</v>
      </c>
      <c r="DT13" s="341">
        <v>0</v>
      </c>
      <c r="DU13" s="258">
        <v>3.52</v>
      </c>
      <c r="DV13" s="251">
        <v>0.28299999999999997</v>
      </c>
      <c r="DW13" s="257">
        <v>1</v>
      </c>
      <c r="DX13" s="340">
        <f t="shared" si="0"/>
        <v>3.129528937800008</v>
      </c>
      <c r="DY13" s="254">
        <f t="shared" si="1"/>
        <v>4.0495974868012524E-3</v>
      </c>
      <c r="DZ13" s="341">
        <f t="shared" ca="1" si="2"/>
        <v>11.111000000000001</v>
      </c>
      <c r="EA13" s="256">
        <f t="shared" ca="1" si="3"/>
        <v>3.280239568772365E-5</v>
      </c>
    </row>
    <row r="14" spans="1:131" ht="15.75" x14ac:dyDescent="0.25">
      <c r="A14" s="250" t="s">
        <v>585</v>
      </c>
      <c r="B14" s="251">
        <v>2</v>
      </c>
      <c r="C14" s="251">
        <v>1</v>
      </c>
      <c r="D14" s="251">
        <v>0.75</v>
      </c>
      <c r="E14" s="251">
        <v>0.28299999999999997</v>
      </c>
      <c r="F14" s="257">
        <v>2</v>
      </c>
      <c r="G14" s="253">
        <f>((PI()*D14*E14/4)*(B14^2-C14^2))*F14</f>
        <v>1.0002045610866503</v>
      </c>
      <c r="H14" s="254">
        <f>(((G14/386.4)*(B14^2+C14^2))/8)</f>
        <v>1.6178257005154155E-3</v>
      </c>
      <c r="I14" s="255">
        <f ca="1">Ratio</f>
        <v>11.111000000000001</v>
      </c>
      <c r="J14" s="256">
        <f ca="1">(H14/(I14^2))</f>
        <v>1.3104650265869715E-5</v>
      </c>
      <c r="L14" s="250" t="s">
        <v>585</v>
      </c>
      <c r="M14" s="251">
        <v>2</v>
      </c>
      <c r="N14" s="251">
        <v>1</v>
      </c>
      <c r="O14" s="251">
        <v>0.75</v>
      </c>
      <c r="P14" s="251">
        <v>0.28299999999999997</v>
      </c>
      <c r="Q14" s="257">
        <v>2</v>
      </c>
      <c r="R14" s="253">
        <f>((PI()*P14*O14/4)*(M14^2-N14^2))*Q14</f>
        <v>1.0002045610866503</v>
      </c>
      <c r="S14" s="254">
        <f>(((R14/386.4)*(M14^2+N14^2))/8)</f>
        <v>1.6178257005154155E-3</v>
      </c>
      <c r="T14" s="255">
        <f ca="1">Ratio</f>
        <v>11.111000000000001</v>
      </c>
      <c r="U14" s="256">
        <f ca="1">(S14/(T14^2))</f>
        <v>1.3104650265869715E-5</v>
      </c>
      <c r="W14" s="250" t="s">
        <v>585</v>
      </c>
      <c r="X14" s="251">
        <v>2</v>
      </c>
      <c r="Y14" s="251">
        <v>1</v>
      </c>
      <c r="Z14" s="251">
        <v>0.75</v>
      </c>
      <c r="AA14" s="251">
        <v>0.28299999999999997</v>
      </c>
      <c r="AB14" s="257">
        <v>2</v>
      </c>
      <c r="AC14" s="253">
        <f>((PI()*Z14*AA14/4)*(X14^2-Y14^2))*AB14</f>
        <v>1.0002045610866503</v>
      </c>
      <c r="AD14" s="254">
        <f>(((AC14/386.4)*(X14^2+Y14^2))/8)</f>
        <v>1.6178257005154155E-3</v>
      </c>
      <c r="AE14" s="255">
        <f ca="1">Ratio</f>
        <v>11.111000000000001</v>
      </c>
      <c r="AF14" s="256">
        <f ca="1">(AD14/(AE14^2))</f>
        <v>1.3104650265869715E-5</v>
      </c>
      <c r="AH14" s="250" t="s">
        <v>585</v>
      </c>
      <c r="AI14" s="251">
        <v>2</v>
      </c>
      <c r="AJ14" s="251">
        <v>1</v>
      </c>
      <c r="AK14" s="251">
        <v>0.75</v>
      </c>
      <c r="AL14" s="251">
        <v>0.28299999999999997</v>
      </c>
      <c r="AM14" s="257">
        <v>2</v>
      </c>
      <c r="AN14" s="253">
        <f>((PI()*AK14*AL14/4)*(AI14^2-AJ14^2))*AM14</f>
        <v>1.0002045610866503</v>
      </c>
      <c r="AO14" s="254">
        <f>(((AN14/386.4)*(AI14^2+AJ14^2))/8)</f>
        <v>1.6178257005154155E-3</v>
      </c>
      <c r="AP14" s="255">
        <f ca="1">Ratio</f>
        <v>11.111000000000001</v>
      </c>
      <c r="AQ14" s="256">
        <f ca="1">(AO14/(AP14^2))</f>
        <v>1.3104650265869715E-5</v>
      </c>
      <c r="AS14" s="250"/>
      <c r="AT14" s="251"/>
      <c r="AU14" s="251"/>
      <c r="AV14" s="251"/>
      <c r="AW14" s="251"/>
      <c r="AX14" s="245"/>
      <c r="AY14" s="253"/>
      <c r="AZ14" s="254"/>
      <c r="BA14" s="251"/>
      <c r="BB14" s="256"/>
      <c r="BD14" s="250"/>
      <c r="BE14" s="251"/>
      <c r="BF14" s="251"/>
      <c r="BG14" s="251"/>
      <c r="BH14" s="251"/>
      <c r="BI14" s="245"/>
      <c r="BJ14" s="253"/>
      <c r="BK14" s="254"/>
      <c r="BL14" s="251"/>
      <c r="BM14" s="245"/>
      <c r="BO14" s="250"/>
      <c r="BP14" s="251"/>
      <c r="BQ14" s="251"/>
      <c r="BR14" s="251"/>
      <c r="BS14" s="251"/>
      <c r="BT14" s="245"/>
      <c r="BU14" s="253"/>
      <c r="BV14" s="254"/>
      <c r="BW14" s="245"/>
      <c r="BX14" s="245"/>
      <c r="BZ14" s="250"/>
      <c r="CA14" s="251"/>
      <c r="CB14" s="251"/>
      <c r="CC14" s="251"/>
      <c r="CD14" s="251"/>
      <c r="CE14" s="245"/>
      <c r="CF14" s="253"/>
      <c r="CG14" s="254"/>
      <c r="CH14" s="245"/>
      <c r="CI14" s="245"/>
      <c r="CK14" s="250"/>
      <c r="CL14" s="251"/>
      <c r="CM14" s="251"/>
      <c r="CN14" s="251"/>
      <c r="CO14" s="251"/>
      <c r="CP14" s="245"/>
      <c r="CQ14" s="253"/>
      <c r="CR14" s="254"/>
      <c r="CS14" s="245"/>
      <c r="CT14" s="245"/>
      <c r="CV14" s="250"/>
      <c r="CW14" s="255">
        <v>3.4990000000000001</v>
      </c>
      <c r="CX14" s="339">
        <v>0</v>
      </c>
      <c r="CY14" s="339">
        <v>6.3920000000000003</v>
      </c>
      <c r="CZ14" s="251">
        <v>0.28299999999999997</v>
      </c>
      <c r="DA14" s="257">
        <v>1</v>
      </c>
      <c r="DB14" s="340">
        <f>((PI()*CY14*CZ14/4)*(CW14^2-CX14^2))*DA14</f>
        <v>17.39406017391849</v>
      </c>
      <c r="DC14" s="254">
        <f>(((DB14/386.4)*(CW14^2+CX14^2))/8)</f>
        <v>6.8890882538607756E-2</v>
      </c>
      <c r="DD14" s="255">
        <f ca="1">Ratio</f>
        <v>11.111000000000001</v>
      </c>
      <c r="DE14" s="256">
        <f ca="1">(DC14/(DD14^2))</f>
        <v>5.5802730905310104E-4</v>
      </c>
      <c r="DG14" s="250"/>
      <c r="DH14" s="339">
        <v>2.75</v>
      </c>
      <c r="DI14" s="339">
        <v>0</v>
      </c>
      <c r="DJ14" s="339">
        <v>1.63</v>
      </c>
      <c r="DK14" s="254">
        <v>0.28299999999999997</v>
      </c>
      <c r="DL14" s="257">
        <v>1</v>
      </c>
      <c r="DM14" s="340">
        <f>((PI()*DJ14*DK14/4)*(DH14^2-DI14^2))*DL14</f>
        <v>2.739865910876667</v>
      </c>
      <c r="DN14" s="254">
        <f>(((DM14/386.4)*(DH14^2+DI14^2))/8)</f>
        <v>6.7029748806304336E-3</v>
      </c>
      <c r="DO14" s="255">
        <f ca="1">Ratio</f>
        <v>11.111000000000001</v>
      </c>
      <c r="DP14" s="256">
        <f ca="1">(DN14/(DO14^2))</f>
        <v>5.4295182431325608E-5</v>
      </c>
      <c r="DR14" s="250"/>
      <c r="DS14" s="341">
        <v>3.5</v>
      </c>
      <c r="DT14" s="341">
        <v>0</v>
      </c>
      <c r="DU14" s="258">
        <v>8.75</v>
      </c>
      <c r="DV14" s="251">
        <v>0.28299999999999997</v>
      </c>
      <c r="DW14" s="257">
        <v>1</v>
      </c>
      <c r="DX14" s="340">
        <f t="shared" si="0"/>
        <v>23.824316975883406</v>
      </c>
      <c r="DY14" s="254">
        <f t="shared" si="1"/>
        <v>9.4412488015842302E-2</v>
      </c>
      <c r="DZ14" s="341">
        <f t="shared" ca="1" si="2"/>
        <v>11.111000000000001</v>
      </c>
      <c r="EA14" s="256">
        <f t="shared" ca="1" si="3"/>
        <v>7.6475644798080654E-4</v>
      </c>
    </row>
    <row r="15" spans="1:131" ht="15.75" x14ac:dyDescent="0.25">
      <c r="A15" s="250"/>
      <c r="B15" s="251"/>
      <c r="C15" s="251"/>
      <c r="D15" s="251"/>
      <c r="E15" s="251"/>
      <c r="F15" s="245"/>
      <c r="G15" s="253"/>
      <c r="H15" s="254"/>
      <c r="I15" s="255"/>
      <c r="J15" s="256"/>
      <c r="L15" s="250"/>
      <c r="M15" s="251"/>
      <c r="N15" s="251"/>
      <c r="O15" s="251"/>
      <c r="P15" s="251"/>
      <c r="Q15" s="245"/>
      <c r="R15" s="253"/>
      <c r="S15" s="254"/>
      <c r="T15" s="255"/>
      <c r="U15" s="256"/>
      <c r="W15" s="250"/>
      <c r="X15" s="251"/>
      <c r="Y15" s="251"/>
      <c r="Z15" s="251"/>
      <c r="AA15" s="251"/>
      <c r="AB15" s="245"/>
      <c r="AC15" s="253"/>
      <c r="AD15" s="254"/>
      <c r="AE15" s="255"/>
      <c r="AF15" s="256"/>
      <c r="AH15" s="250"/>
      <c r="AI15" s="251"/>
      <c r="AJ15" s="251"/>
      <c r="AK15" s="251"/>
      <c r="AL15" s="251"/>
      <c r="AM15" s="245"/>
      <c r="AN15" s="253"/>
      <c r="AO15" s="254"/>
      <c r="AP15" s="245"/>
      <c r="AQ15" s="245"/>
      <c r="AS15" s="250" t="s">
        <v>584</v>
      </c>
      <c r="AT15" s="251">
        <v>3</v>
      </c>
      <c r="AU15" s="251">
        <v>1.7497</v>
      </c>
      <c r="AV15" s="251">
        <v>1</v>
      </c>
      <c r="AW15" s="251">
        <v>0.28299999999999997</v>
      </c>
      <c r="AX15" s="257">
        <v>2</v>
      </c>
      <c r="AY15" s="253">
        <f>((PI()*AV15*AW15/4)*(AT15^2-AU15^2))*AX15</f>
        <v>2.6398954249878739</v>
      </c>
      <c r="AZ15" s="254">
        <f>(((AY15/386.4)*(AT15^2+AU15^2))/8)</f>
        <v>1.0300519834145505E-2</v>
      </c>
      <c r="BA15" s="251">
        <f ca="1">(AT15/AT16)*Ratio</f>
        <v>13.3332</v>
      </c>
      <c r="BB15" s="256">
        <f ca="1">(AZ15/(BA15^2))</f>
        <v>5.794158289293217E-5</v>
      </c>
      <c r="BD15" s="250" t="s">
        <v>584</v>
      </c>
      <c r="BE15" s="251">
        <v>3</v>
      </c>
      <c r="BF15" s="251">
        <v>1.7497</v>
      </c>
      <c r="BG15" s="251">
        <v>1</v>
      </c>
      <c r="BH15" s="251">
        <v>0.28299999999999997</v>
      </c>
      <c r="BI15" s="257">
        <v>2</v>
      </c>
      <c r="BJ15" s="253">
        <f>((PI()*BG15*BH15/4)*(BE15^2-BF15^2))*BI15</f>
        <v>2.6398954249878739</v>
      </c>
      <c r="BK15" s="254">
        <f>(((BJ15/386.4)*(BE15^2+BF15^2))/8)</f>
        <v>1.0300519834145505E-2</v>
      </c>
      <c r="BL15" s="251">
        <f ca="1">(BE15/BE16)*Ratio</f>
        <v>13.3332</v>
      </c>
      <c r="BM15" s="256">
        <f ca="1">(BK15/(BL15^2))</f>
        <v>5.794158289293217E-5</v>
      </c>
      <c r="BO15" s="250" t="s">
        <v>584</v>
      </c>
      <c r="BP15" s="251">
        <v>4</v>
      </c>
      <c r="BQ15" s="251">
        <v>1.7497</v>
      </c>
      <c r="BR15" s="251">
        <v>1.25</v>
      </c>
      <c r="BS15" s="251">
        <v>0.28299999999999997</v>
      </c>
      <c r="BT15" s="257">
        <v>2</v>
      </c>
      <c r="BU15" s="253">
        <f>((PI()*BR15*BS15/4)*(BP15^2-BQ15^2))*BT15</f>
        <v>7.1895536854607043</v>
      </c>
      <c r="BV15" s="254">
        <f>(((BU15/386.4)*(BP15^2+BQ15^2))/8)</f>
        <v>4.4333371747148291E-2</v>
      </c>
      <c r="BW15" s="255">
        <f ca="1">(BP15/BP16)*Ratio</f>
        <v>12.698285714285714</v>
      </c>
      <c r="BX15" s="256">
        <f ca="1">(BV15/(BW15^2))</f>
        <v>2.7494167453167087E-4</v>
      </c>
      <c r="BZ15" s="250" t="s">
        <v>584</v>
      </c>
      <c r="CA15" s="251">
        <v>4</v>
      </c>
      <c r="CB15" s="251">
        <v>1.7497</v>
      </c>
      <c r="CC15" s="251">
        <v>1.25</v>
      </c>
      <c r="CD15" s="251">
        <v>0.28299999999999997</v>
      </c>
      <c r="CE15" s="257">
        <v>2</v>
      </c>
      <c r="CF15" s="253">
        <f>((PI()*CC15*CD15/4)*(CA15^2-CB15^2))*CE15</f>
        <v>7.1895536854607043</v>
      </c>
      <c r="CG15" s="254">
        <f>(((CF15/386.4)*(CA15^2+CB15^2))/8)</f>
        <v>4.4333371747148291E-2</v>
      </c>
      <c r="CH15" s="255">
        <f ca="1">(CA15/CA16)*Ratio</f>
        <v>12.698285714285714</v>
      </c>
      <c r="CI15" s="256">
        <f ca="1">(CG15/(CH15^2))</f>
        <v>2.7494167453167087E-4</v>
      </c>
      <c r="CK15" s="250" t="s">
        <v>586</v>
      </c>
      <c r="CL15" s="251">
        <v>5.33</v>
      </c>
      <c r="CM15" s="251">
        <v>2</v>
      </c>
      <c r="CN15" s="251">
        <v>2</v>
      </c>
      <c r="CO15" s="251">
        <v>0.28299999999999997</v>
      </c>
      <c r="CP15" s="257">
        <v>2</v>
      </c>
      <c r="CQ15" s="253">
        <f>((PI()*CN15*CO15/4)*(CL15^2-CM15^2))*CP15</f>
        <v>21.701238320984832</v>
      </c>
      <c r="CR15" s="254">
        <f>(((CQ15/386.4)*(CL15^2+CM15^2))/8)</f>
        <v>0.22752111239032266</v>
      </c>
      <c r="CS15" s="255">
        <f ca="1">(CL15/CL18)*Ratio</f>
        <v>12.261207039337476</v>
      </c>
      <c r="CT15" s="256">
        <f ca="1">(CR15/(CS15^2))</f>
        <v>1.5134053003784862E-3</v>
      </c>
      <c r="CV15" s="250"/>
      <c r="CW15" s="255"/>
      <c r="CX15" s="339"/>
      <c r="CY15" s="339"/>
      <c r="CZ15" s="251"/>
      <c r="DA15" s="245"/>
      <c r="DB15" s="340"/>
      <c r="DC15" s="254"/>
      <c r="DD15" s="255"/>
      <c r="DE15" s="256"/>
      <c r="DG15" s="250"/>
      <c r="DH15" s="339">
        <v>3.5</v>
      </c>
      <c r="DI15" s="339">
        <v>0</v>
      </c>
      <c r="DJ15" s="339">
        <v>6.37</v>
      </c>
      <c r="DK15" s="254">
        <v>0.28299999999999997</v>
      </c>
      <c r="DL15" s="257">
        <v>1</v>
      </c>
      <c r="DM15" s="340">
        <f>((PI()*DJ15*DK15/4)*(DH15^2-DI15^2))*DL15</f>
        <v>17.344102758443121</v>
      </c>
      <c r="DN15" s="254">
        <f>(((DM15/386.4)*(DH15^2+DI15^2))/8)</f>
        <v>6.8732291275533208E-2</v>
      </c>
      <c r="DO15" s="255">
        <f ca="1">Ratio</f>
        <v>11.111000000000001</v>
      </c>
      <c r="DP15" s="256">
        <f ca="1">(DN15/(DO15^2))</f>
        <v>5.5674269413002726E-4</v>
      </c>
      <c r="DR15" s="250"/>
      <c r="DS15" s="341">
        <v>4.33</v>
      </c>
      <c r="DT15" s="341">
        <v>0</v>
      </c>
      <c r="DU15" s="258">
        <v>2.13</v>
      </c>
      <c r="DV15" s="251">
        <v>0.28299999999999997</v>
      </c>
      <c r="DW15" s="257">
        <v>1</v>
      </c>
      <c r="DX15" s="340">
        <f t="shared" si="0"/>
        <v>8.8762947064692135</v>
      </c>
      <c r="DY15" s="254">
        <f t="shared" si="1"/>
        <v>5.3836944171234684E-2</v>
      </c>
      <c r="DZ15" s="341">
        <f t="shared" ca="1" si="2"/>
        <v>11.111000000000001</v>
      </c>
      <c r="EA15" s="256">
        <f t="shared" ca="1" si="3"/>
        <v>4.3608796950278213E-4</v>
      </c>
    </row>
    <row r="16" spans="1:131" ht="15.75" x14ac:dyDescent="0.25">
      <c r="A16" s="250" t="s">
        <v>587</v>
      </c>
      <c r="B16" s="251">
        <v>6.9610000000000003</v>
      </c>
      <c r="C16" s="251">
        <v>4.88</v>
      </c>
      <c r="D16" s="251">
        <v>1.28</v>
      </c>
      <c r="E16" s="251">
        <v>0.28299999999999997</v>
      </c>
      <c r="F16" s="257">
        <v>1</v>
      </c>
      <c r="G16" s="253">
        <f>((PI()*D16*E16/4)*(B16^2-C16^2))*F16</f>
        <v>7.0104637481210448</v>
      </c>
      <c r="H16" s="254">
        <f>(((G16/386.4)*(B16^2+C16^2))/8)</f>
        <v>0.16389934693648806</v>
      </c>
      <c r="I16" s="255">
        <f ca="1">Ratio</f>
        <v>11.111000000000001</v>
      </c>
      <c r="J16" s="256">
        <f ca="1">(H16/(I16^2))</f>
        <v>1.3276112622780374E-3</v>
      </c>
      <c r="L16" s="250" t="s">
        <v>587</v>
      </c>
      <c r="M16" s="251">
        <v>5.5940000000000003</v>
      </c>
      <c r="N16" s="251">
        <v>4.88</v>
      </c>
      <c r="O16" s="251">
        <v>1.28</v>
      </c>
      <c r="P16" s="251">
        <v>0.28299999999999997</v>
      </c>
      <c r="Q16" s="257">
        <v>1</v>
      </c>
      <c r="R16" s="253">
        <f>((PI()*P16*O16/4)*(M16^2-N16^2))*Q16</f>
        <v>2.1276347155895783</v>
      </c>
      <c r="S16" s="254">
        <f>(((R16/386.4)*(M16^2+N16^2))/8)</f>
        <v>3.7929628750578342E-2</v>
      </c>
      <c r="T16" s="255">
        <f ca="1">Ratio</f>
        <v>11.111000000000001</v>
      </c>
      <c r="U16" s="256">
        <f ca="1">(S16/(T16^2))</f>
        <v>3.0723613757171233E-4</v>
      </c>
      <c r="W16" s="250" t="s">
        <v>587</v>
      </c>
      <c r="X16" s="251">
        <v>5.5940000000000003</v>
      </c>
      <c r="Y16" s="251">
        <v>4.88</v>
      </c>
      <c r="Z16" s="251">
        <v>1.28</v>
      </c>
      <c r="AA16" s="251">
        <v>0.28299999999999997</v>
      </c>
      <c r="AB16" s="257">
        <v>1</v>
      </c>
      <c r="AC16" s="253">
        <f>((PI()*Z16*AA16/4)*(X16^2-Y16^2))*AB16</f>
        <v>2.1276347155895783</v>
      </c>
      <c r="AD16" s="254">
        <f>(((AC16/386.4)*(X16^2+Y16^2))/8)</f>
        <v>3.7929628750578342E-2</v>
      </c>
      <c r="AE16" s="255">
        <f ca="1">Ratio</f>
        <v>11.111000000000001</v>
      </c>
      <c r="AF16" s="256">
        <f ca="1">(AD16/(AE16^2))</f>
        <v>3.0723613757171233E-4</v>
      </c>
      <c r="AH16" s="250" t="s">
        <v>587</v>
      </c>
      <c r="AI16" s="251">
        <v>6.9610000000000003</v>
      </c>
      <c r="AJ16" s="251">
        <v>4.88</v>
      </c>
      <c r="AK16" s="251">
        <v>1.28</v>
      </c>
      <c r="AL16" s="251">
        <v>0.28299999999999997</v>
      </c>
      <c r="AM16" s="257">
        <v>1</v>
      </c>
      <c r="AN16" s="253">
        <f>((PI()*AK16*AL16/4)*(AI16^2-AJ16^2))*AM16</f>
        <v>7.0104637481210448</v>
      </c>
      <c r="AO16" s="254">
        <f>(((AN16/386.4)*(AI16^2+AJ16^2))/8)</f>
        <v>0.16389934693648806</v>
      </c>
      <c r="AP16" s="255">
        <f ca="1">Ratio</f>
        <v>11.111000000000001</v>
      </c>
      <c r="AQ16" s="256">
        <f ca="1">(AO16/(AP16^2))</f>
        <v>1.3276112622780374E-3</v>
      </c>
      <c r="AS16" s="250" t="s">
        <v>585</v>
      </c>
      <c r="AT16" s="251">
        <v>2.5</v>
      </c>
      <c r="AU16" s="251">
        <v>1.339</v>
      </c>
      <c r="AV16" s="251">
        <v>1</v>
      </c>
      <c r="AW16" s="251">
        <v>0.28299999999999997</v>
      </c>
      <c r="AX16" s="257">
        <v>2</v>
      </c>
      <c r="AY16" s="253">
        <f>((PI()*AV16*AW16/4)*(AT16^2-AU16^2))*AX16</f>
        <v>1.9813292199660117</v>
      </c>
      <c r="AZ16" s="254">
        <f>(((AY16/386.4)*(AT16^2+AU16^2))/8)</f>
        <v>5.1551741689888249E-3</v>
      </c>
      <c r="BA16" s="251">
        <f ca="1">Ratio</f>
        <v>11.111000000000001</v>
      </c>
      <c r="BB16" s="256">
        <f ca="1">(AZ16/(BA16^2))</f>
        <v>4.1757745919552091E-5</v>
      </c>
      <c r="BD16" s="250" t="s">
        <v>585</v>
      </c>
      <c r="BE16" s="251">
        <v>2.5</v>
      </c>
      <c r="BF16" s="251">
        <v>1.339</v>
      </c>
      <c r="BG16" s="251">
        <v>1</v>
      </c>
      <c r="BH16" s="251">
        <v>0.28299999999999997</v>
      </c>
      <c r="BI16" s="257">
        <v>2</v>
      </c>
      <c r="BJ16" s="253">
        <f>((PI()*BG16*BH16/4)*(BE16^2-BF16^2))*BI16</f>
        <v>1.9813292199660117</v>
      </c>
      <c r="BK16" s="254">
        <f>(((BJ16/386.4)*(BE16^2+BF16^2))/8)</f>
        <v>5.1551741689888249E-3</v>
      </c>
      <c r="BL16" s="251">
        <f ca="1">Ratio</f>
        <v>11.111000000000001</v>
      </c>
      <c r="BM16" s="256">
        <f ca="1">(BK16/(BL16^2))</f>
        <v>4.1757745919552091E-5</v>
      </c>
      <c r="BO16" s="250" t="s">
        <v>585</v>
      </c>
      <c r="BP16" s="251">
        <v>3.5</v>
      </c>
      <c r="BQ16" s="251">
        <v>1.85</v>
      </c>
      <c r="BR16" s="251">
        <v>1.25</v>
      </c>
      <c r="BS16" s="251">
        <v>0.28299999999999997</v>
      </c>
      <c r="BT16" s="257">
        <v>2</v>
      </c>
      <c r="BU16" s="253">
        <f>((PI()*BR16*BS16/4)*(BP16^2-BQ16^2))*BT16</f>
        <v>4.9051698683291143</v>
      </c>
      <c r="BV16" s="254">
        <f>(((BU16/386.4)*(BP16^2+BQ16^2))/8)</f>
        <v>2.4869395303244061E-2</v>
      </c>
      <c r="BW16" s="255">
        <f ca="1">Ratio</f>
        <v>11.111000000000001</v>
      </c>
      <c r="BX16" s="256">
        <f ca="1">(BV16/(BW16^2))</f>
        <v>2.0144613085874941E-4</v>
      </c>
      <c r="BZ16" s="250" t="s">
        <v>585</v>
      </c>
      <c r="CA16" s="251">
        <v>3.5</v>
      </c>
      <c r="CB16" s="251">
        <v>1.85</v>
      </c>
      <c r="CC16" s="251">
        <v>1.25</v>
      </c>
      <c r="CD16" s="251">
        <v>0.28299999999999997</v>
      </c>
      <c r="CE16" s="257">
        <v>2</v>
      </c>
      <c r="CF16" s="253">
        <f>((PI()*CC16*CD16/4)*(CA16^2-CB16^2))*CE16</f>
        <v>4.9051698683291143</v>
      </c>
      <c r="CG16" s="254">
        <f>(((CF16/386.4)*(CA16^2+CB16^2))/8)</f>
        <v>2.4869395303244061E-2</v>
      </c>
      <c r="CH16" s="255">
        <f ca="1">Ratio</f>
        <v>11.111000000000001</v>
      </c>
      <c r="CI16" s="256">
        <f ca="1">(CG16/(CH16^2))</f>
        <v>2.0144613085874941E-4</v>
      </c>
      <c r="CK16" s="250" t="s">
        <v>588</v>
      </c>
      <c r="CL16" s="251">
        <v>3.125</v>
      </c>
      <c r="CM16" s="251">
        <v>2</v>
      </c>
      <c r="CN16" s="251">
        <v>1.5</v>
      </c>
      <c r="CO16" s="251">
        <v>0.28299999999999997</v>
      </c>
      <c r="CP16" s="257">
        <v>2</v>
      </c>
      <c r="CQ16" s="253">
        <f>((PI()*CN16*CO16/4)*(CL16^2-CM16^2))*CP16</f>
        <v>3.8445362816768123</v>
      </c>
      <c r="CR16" s="254">
        <f>(((CQ16/386.4)*(CL16^2+CM16^2))/8)</f>
        <v>1.7120356092280464E-2</v>
      </c>
      <c r="CS16" s="255">
        <f ca="1">(CL15/CL18)*Ratio</f>
        <v>12.261207039337476</v>
      </c>
      <c r="CT16" s="256">
        <f ca="1">(CR16/(CS16^2))</f>
        <v>1.1387970717185371E-4</v>
      </c>
      <c r="CV16" s="250" t="s">
        <v>589</v>
      </c>
      <c r="CW16" s="255">
        <v>5.83</v>
      </c>
      <c r="CX16" s="339">
        <v>2</v>
      </c>
      <c r="CY16" s="339">
        <v>2</v>
      </c>
      <c r="CZ16" s="251">
        <v>0.28299999999999997</v>
      </c>
      <c r="DA16" s="257">
        <v>2</v>
      </c>
      <c r="DB16" s="340">
        <f>((PI()*CY16*CZ16/4)*(CW16^2-CX16^2))*DA16</f>
        <v>26.662252943974618</v>
      </c>
      <c r="DC16" s="254">
        <f>(((DB16/386.4)*(CW16^2+CX16^2))/8)</f>
        <v>0.32766228676997849</v>
      </c>
      <c r="DD16" s="255">
        <f ca="1">Ratio</f>
        <v>11.111000000000001</v>
      </c>
      <c r="DE16" s="256">
        <f ca="1">(DC16/(DD16^2))</f>
        <v>2.654117604923512E-3</v>
      </c>
      <c r="DG16" s="250"/>
      <c r="DH16" s="339"/>
      <c r="DI16" s="339"/>
      <c r="DJ16" s="339"/>
      <c r="DK16" s="254"/>
      <c r="DL16" s="245"/>
      <c r="DM16" s="340"/>
      <c r="DN16" s="254"/>
      <c r="DO16" s="255"/>
      <c r="DP16" s="256"/>
      <c r="DR16" s="250"/>
      <c r="DS16" s="341">
        <v>5.75</v>
      </c>
      <c r="DT16" s="341">
        <v>0</v>
      </c>
      <c r="DU16" s="342">
        <v>2</v>
      </c>
      <c r="DV16" s="251">
        <v>0.28299999999999997</v>
      </c>
      <c r="DW16" s="257">
        <v>1</v>
      </c>
      <c r="DX16" s="340">
        <f t="shared" si="0"/>
        <v>14.697450355967721</v>
      </c>
      <c r="DY16" s="254">
        <f t="shared" si="1"/>
        <v>0.15719929231178276</v>
      </c>
      <c r="DZ16" s="341">
        <f t="shared" ca="1" si="2"/>
        <v>11.111000000000001</v>
      </c>
      <c r="EA16" s="256">
        <f t="shared" ca="1" si="3"/>
        <v>1.273339734392794E-3</v>
      </c>
    </row>
    <row r="17" spans="1:131" ht="15.75" x14ac:dyDescent="0.25">
      <c r="A17" s="250" t="s">
        <v>590</v>
      </c>
      <c r="B17" s="251">
        <v>4.88</v>
      </c>
      <c r="C17" s="251">
        <v>2.1875</v>
      </c>
      <c r="D17" s="251">
        <v>0.75</v>
      </c>
      <c r="E17" s="251">
        <v>0.28299999999999997</v>
      </c>
      <c r="F17" s="257">
        <v>1</v>
      </c>
      <c r="G17" s="253">
        <f>((PI()*D17*E17/4)*(B17^2-C17^2))*F17</f>
        <v>3.1721893987966054</v>
      </c>
      <c r="H17" s="254">
        <f>(((G17/386.4)*(B17^2+C17^2))/8)</f>
        <v>2.934886424253921E-2</v>
      </c>
      <c r="I17" s="255">
        <f ca="1">Ratio</f>
        <v>11.111000000000001</v>
      </c>
      <c r="J17" s="256">
        <f ca="1">(H17/(I17^2))</f>
        <v>2.3773055495189354E-4</v>
      </c>
      <c r="L17" s="250" t="s">
        <v>590</v>
      </c>
      <c r="M17" s="251">
        <v>4.88</v>
      </c>
      <c r="N17" s="251">
        <v>2.1875</v>
      </c>
      <c r="O17" s="251">
        <v>0.75</v>
      </c>
      <c r="P17" s="251">
        <v>0.28299999999999997</v>
      </c>
      <c r="Q17" s="257">
        <v>1</v>
      </c>
      <c r="R17" s="253">
        <f>((PI()*P17*O17/4)*(M17^2-N17^2))*Q17</f>
        <v>3.1721893987966054</v>
      </c>
      <c r="S17" s="254">
        <f>(((R17/386.4)*(M17^2+N17^2))/8)</f>
        <v>2.934886424253921E-2</v>
      </c>
      <c r="T17" s="255">
        <f ca="1">Ratio</f>
        <v>11.111000000000001</v>
      </c>
      <c r="U17" s="256">
        <f ca="1">(S17/(T17^2))</f>
        <v>2.3773055495189354E-4</v>
      </c>
      <c r="W17" s="250" t="s">
        <v>591</v>
      </c>
      <c r="X17" s="251">
        <v>4.88</v>
      </c>
      <c r="Y17" s="251">
        <v>2.1875</v>
      </c>
      <c r="Z17" s="251">
        <v>0.75</v>
      </c>
      <c r="AA17" s="251">
        <v>0.28299999999999997</v>
      </c>
      <c r="AB17" s="257">
        <v>1</v>
      </c>
      <c r="AC17" s="253">
        <f>((PI()*Z17*AA17/4)*(X17^2-Y17^2))*AB17</f>
        <v>3.1721893987966054</v>
      </c>
      <c r="AD17" s="254">
        <f>(((AC17/386.4)*(X17^2+Y17^2))/8)</f>
        <v>2.934886424253921E-2</v>
      </c>
      <c r="AE17" s="255">
        <f ca="1">Ratio</f>
        <v>11.111000000000001</v>
      </c>
      <c r="AF17" s="256">
        <f ca="1">(AD17/(AE17^2))</f>
        <v>2.3773055495189354E-4</v>
      </c>
      <c r="AH17" s="250" t="s">
        <v>592</v>
      </c>
      <c r="AI17" s="251">
        <v>4.88</v>
      </c>
      <c r="AJ17" s="251">
        <v>2.1875</v>
      </c>
      <c r="AK17" s="251">
        <v>0.75</v>
      </c>
      <c r="AL17" s="251">
        <v>0.28299999999999997</v>
      </c>
      <c r="AM17" s="257">
        <v>1</v>
      </c>
      <c r="AN17" s="253">
        <f>((PI()*AK17*AL17/4)*(AI17^2-AJ17^2))*AM17</f>
        <v>3.1721893987966054</v>
      </c>
      <c r="AO17" s="254">
        <f>(((AN17/386.4)*(AI17^2+AJ17^2))/8)</f>
        <v>2.934886424253921E-2</v>
      </c>
      <c r="AP17" s="255">
        <f ca="1">Ratio</f>
        <v>11.111000000000001</v>
      </c>
      <c r="AQ17" s="256">
        <f ca="1">(AO17/(AP17^2))</f>
        <v>2.3773055495189354E-4</v>
      </c>
      <c r="AS17" s="250"/>
      <c r="AT17" s="251"/>
      <c r="AU17" s="251"/>
      <c r="AV17" s="251"/>
      <c r="AW17" s="251"/>
      <c r="AX17" s="245"/>
      <c r="AY17" s="253"/>
      <c r="AZ17" s="254"/>
      <c r="BA17" s="251"/>
      <c r="BB17" s="256"/>
      <c r="BD17" s="250"/>
      <c r="BE17" s="251"/>
      <c r="BF17" s="251"/>
      <c r="BG17" s="251"/>
      <c r="BH17" s="251"/>
      <c r="BI17" s="245"/>
      <c r="BJ17" s="253"/>
      <c r="BK17" s="254"/>
      <c r="BL17" s="251"/>
      <c r="BM17" s="245"/>
      <c r="BO17" s="250"/>
      <c r="BP17" s="251"/>
      <c r="BQ17" s="251"/>
      <c r="BR17" s="251"/>
      <c r="BS17" s="251"/>
      <c r="BT17" s="245"/>
      <c r="BU17" s="253"/>
      <c r="BV17" s="254"/>
      <c r="BW17" s="245"/>
      <c r="BX17" s="245"/>
      <c r="BZ17" s="250"/>
      <c r="CA17" s="251"/>
      <c r="CB17" s="251"/>
      <c r="CC17" s="251"/>
      <c r="CD17" s="251"/>
      <c r="CE17" s="245"/>
      <c r="CF17" s="253"/>
      <c r="CG17" s="254"/>
      <c r="CH17" s="245"/>
      <c r="CI17" s="245"/>
      <c r="CK17" s="250"/>
      <c r="CL17" s="251"/>
      <c r="CM17" s="251"/>
      <c r="CN17" s="251"/>
      <c r="CO17" s="251"/>
      <c r="CP17" s="245"/>
      <c r="CQ17" s="253"/>
      <c r="CR17" s="254"/>
      <c r="CS17" s="255"/>
      <c r="CT17" s="256"/>
      <c r="CV17" s="250" t="s">
        <v>593</v>
      </c>
      <c r="CW17" s="255">
        <v>3.25</v>
      </c>
      <c r="CX17" s="339">
        <v>2</v>
      </c>
      <c r="CY17" s="339">
        <v>2</v>
      </c>
      <c r="CZ17" s="251">
        <v>0.28299999999999997</v>
      </c>
      <c r="DA17" s="257">
        <v>2</v>
      </c>
      <c r="DB17" s="340">
        <f>((PI()*CY17*CZ17/4)*(CW17^2-CX17^2))*DA17</f>
        <v>5.8345266063387928</v>
      </c>
      <c r="DC17" s="254">
        <f>(((DB17/386.4)*(CW17^2+CX17^2))/8)</f>
        <v>2.748618455771502E-2</v>
      </c>
      <c r="DD17" s="255">
        <f ca="1">Ratio</f>
        <v>11.111000000000001</v>
      </c>
      <c r="DE17" s="256">
        <f ca="1">(DC17/(DD17^2))</f>
        <v>2.2264254774618229E-4</v>
      </c>
      <c r="DG17" s="250" t="s">
        <v>594</v>
      </c>
      <c r="DH17" s="339">
        <v>5.33</v>
      </c>
      <c r="DI17" s="339">
        <v>2</v>
      </c>
      <c r="DJ17" s="339">
        <v>1.75</v>
      </c>
      <c r="DK17" s="254">
        <v>0.28299999999999997</v>
      </c>
      <c r="DL17" s="257">
        <v>2</v>
      </c>
      <c r="DM17" s="340">
        <f>((PI()*DJ17*DK17/4)*(DH17^2-DI17^2))*DL17</f>
        <v>18.988583530861728</v>
      </c>
      <c r="DN17" s="254">
        <f>(((DM17/386.4)*(DH17^2+DI17^2))/8)</f>
        <v>0.19908097334153232</v>
      </c>
      <c r="DO17" s="255">
        <f ca="1">(DH20/DH17)*Ratio</f>
        <v>13.195615384615385</v>
      </c>
      <c r="DP17" s="256">
        <f ca="1">(DN17/(DO17^2))</f>
        <v>1.1433269964330154E-3</v>
      </c>
      <c r="DR17" s="250"/>
      <c r="DS17" s="341"/>
      <c r="DT17" s="341"/>
      <c r="DU17" s="258"/>
      <c r="DV17" s="343"/>
      <c r="DW17" s="245"/>
      <c r="DX17" s="340"/>
      <c r="DY17" s="254"/>
      <c r="DZ17" s="341"/>
      <c r="EA17" s="256"/>
    </row>
    <row r="18" spans="1:131" ht="15.75" x14ac:dyDescent="0.25">
      <c r="A18" s="250"/>
      <c r="B18" s="251"/>
      <c r="C18" s="251"/>
      <c r="D18" s="251"/>
      <c r="E18" s="251"/>
      <c r="F18" s="245"/>
      <c r="G18" s="253"/>
      <c r="H18" s="254"/>
      <c r="I18" s="255"/>
      <c r="J18" s="256"/>
      <c r="L18" s="250"/>
      <c r="M18" s="251"/>
      <c r="N18" s="251"/>
      <c r="O18" s="251"/>
      <c r="P18" s="251"/>
      <c r="Q18" s="245"/>
      <c r="R18" s="253"/>
      <c r="S18" s="254"/>
      <c r="T18" s="255"/>
      <c r="U18" s="256"/>
      <c r="W18" s="250"/>
      <c r="X18" s="251"/>
      <c r="Y18" s="251"/>
      <c r="Z18" s="251"/>
      <c r="AA18" s="251"/>
      <c r="AB18" s="245"/>
      <c r="AC18" s="253"/>
      <c r="AD18" s="254"/>
      <c r="AE18" s="255"/>
      <c r="AF18" s="256"/>
      <c r="AH18" s="250"/>
      <c r="AI18" s="251"/>
      <c r="AJ18" s="251"/>
      <c r="AK18" s="251"/>
      <c r="AL18" s="251"/>
      <c r="AM18" s="245"/>
      <c r="AN18" s="253"/>
      <c r="AO18" s="254"/>
      <c r="AP18" s="245"/>
      <c r="AQ18" s="245"/>
      <c r="AS18" s="250" t="s">
        <v>587</v>
      </c>
      <c r="AT18" s="251">
        <v>8.9629999999999992</v>
      </c>
      <c r="AU18" s="251">
        <v>7.9</v>
      </c>
      <c r="AV18" s="251">
        <v>1.22</v>
      </c>
      <c r="AW18" s="251">
        <v>0.28299999999999997</v>
      </c>
      <c r="AX18" s="257">
        <v>1</v>
      </c>
      <c r="AY18" s="253">
        <f>((PI()*AV18*AW18/4)*(AT18^2-AU18^2))*AX18</f>
        <v>4.8607608258250448</v>
      </c>
      <c r="AZ18" s="254">
        <f>(((AY18/386.4)*(AT18^2+AU18^2))/8)</f>
        <v>0.22446011183460815</v>
      </c>
      <c r="BA18" s="251">
        <f ca="1">Ratio</f>
        <v>11.111000000000001</v>
      </c>
      <c r="BB18" s="256">
        <f ca="1">(AZ18/(BA18^2))</f>
        <v>1.8181632689438882E-3</v>
      </c>
      <c r="BD18" s="250" t="s">
        <v>587</v>
      </c>
      <c r="BE18" s="251">
        <v>11.154</v>
      </c>
      <c r="BF18" s="251">
        <v>7.9</v>
      </c>
      <c r="BG18" s="251">
        <v>1.22</v>
      </c>
      <c r="BH18" s="251">
        <v>0.28299999999999997</v>
      </c>
      <c r="BI18" s="257">
        <v>1</v>
      </c>
      <c r="BJ18" s="253">
        <f>((PI()*BG18*BH18/4)*(BE18^2-BF18^2))*BI18</f>
        <v>16.812792655299322</v>
      </c>
      <c r="BK18" s="254">
        <f>(((BJ18/386.4)*(BE18^2+BF18^2))/8)</f>
        <v>1.0161085580406366</v>
      </c>
      <c r="BL18" s="251">
        <f ca="1">Ratio</f>
        <v>11.111000000000001</v>
      </c>
      <c r="BM18" s="256">
        <f ca="1">(BK18/(BL18^2))</f>
        <v>8.2306439321847349E-3</v>
      </c>
      <c r="BO18" s="250" t="s">
        <v>587</v>
      </c>
      <c r="BP18" s="251">
        <v>8.9629999999999992</v>
      </c>
      <c r="BQ18" s="251">
        <v>7.9</v>
      </c>
      <c r="BR18" s="251">
        <v>1.22</v>
      </c>
      <c r="BS18" s="251">
        <v>0.28299999999999997</v>
      </c>
      <c r="BT18" s="257">
        <v>1</v>
      </c>
      <c r="BU18" s="253">
        <f>((PI()*BR18*BS18/4)*(BP18^2-BQ18^2))*BT18</f>
        <v>4.8607608258250448</v>
      </c>
      <c r="BV18" s="254">
        <f>(((BU18/386.4)*(BP18^2+BQ18^2))/8)</f>
        <v>0.22446011183460815</v>
      </c>
      <c r="BW18" s="255">
        <f ca="1">Ratio</f>
        <v>11.111000000000001</v>
      </c>
      <c r="BX18" s="256">
        <f ca="1">(BV18/(BW18^2))</f>
        <v>1.8181632689438882E-3</v>
      </c>
      <c r="BZ18" s="250" t="s">
        <v>587</v>
      </c>
      <c r="CA18" s="251">
        <v>11.154</v>
      </c>
      <c r="CB18" s="251">
        <v>7.9</v>
      </c>
      <c r="CC18" s="251">
        <v>1.22</v>
      </c>
      <c r="CD18" s="251">
        <v>0.28299999999999997</v>
      </c>
      <c r="CE18" s="257">
        <v>1</v>
      </c>
      <c r="CF18" s="253">
        <f>((PI()*CC18*CD18/4)*(CA18^2-CB18^2))*CE18</f>
        <v>16.812792655299322</v>
      </c>
      <c r="CG18" s="254">
        <f>(((CF18/386.4)*(CA18^2+CB18^2))/8)</f>
        <v>1.0161085580406366</v>
      </c>
      <c r="CH18" s="255">
        <f ca="1">Ratio</f>
        <v>11.111000000000001</v>
      </c>
      <c r="CI18" s="256">
        <f ca="1">(CG18/(CH18^2))</f>
        <v>8.2306439321847349E-3</v>
      </c>
      <c r="CK18" s="250" t="s">
        <v>595</v>
      </c>
      <c r="CL18" s="251">
        <v>4.83</v>
      </c>
      <c r="CM18" s="251">
        <v>2</v>
      </c>
      <c r="CN18" s="251">
        <v>2</v>
      </c>
      <c r="CO18" s="251">
        <v>0.28299999999999997</v>
      </c>
      <c r="CP18" s="257">
        <v>2</v>
      </c>
      <c r="CQ18" s="253">
        <f>((PI()*CN18*CO18/4)*(CL18^2-CM18^2))*CP18</f>
        <v>17.184759058478004</v>
      </c>
      <c r="CR18" s="254">
        <f>(((CQ18/386.4)*(CL18^2+CM18^2))/8)</f>
        <v>0.15192823558269913</v>
      </c>
      <c r="CS18" s="255">
        <f ca="1">Ratio</f>
        <v>11.111000000000001</v>
      </c>
      <c r="CT18" s="256">
        <f ca="1">(CR18/(CS18^2))</f>
        <v>1.2306433209632176E-3</v>
      </c>
      <c r="CV18" s="250"/>
      <c r="CW18" s="255"/>
      <c r="CX18" s="339"/>
      <c r="CY18" s="339"/>
      <c r="CZ18" s="251"/>
      <c r="DA18" s="245"/>
      <c r="DB18" s="340"/>
      <c r="DC18" s="254"/>
      <c r="DD18" s="255"/>
      <c r="DE18" s="256"/>
      <c r="DG18" s="250" t="s">
        <v>593</v>
      </c>
      <c r="DH18" s="339">
        <v>3.125</v>
      </c>
      <c r="DI18" s="339">
        <v>2</v>
      </c>
      <c r="DJ18" s="339">
        <v>1.75</v>
      </c>
      <c r="DK18" s="254">
        <v>0.28299999999999997</v>
      </c>
      <c r="DL18" s="257">
        <v>2</v>
      </c>
      <c r="DM18" s="340">
        <f>((PI()*DJ18*DK18/4)*(DH18^2-DI18^2))*DL18</f>
        <v>4.4852923286229469</v>
      </c>
      <c r="DN18" s="254">
        <f>(((DM18/386.4)*(DH18^2+DI18^2))/8)</f>
        <v>1.9973748774327206E-2</v>
      </c>
      <c r="DO18" s="255">
        <f ca="1">(DH20/DH17)*Ratio</f>
        <v>13.195615384615385</v>
      </c>
      <c r="DP18" s="256">
        <f ca="1">(DN18/(DO18^2))</f>
        <v>1.1470973750204678E-4</v>
      </c>
      <c r="DR18" s="250" t="s">
        <v>596</v>
      </c>
      <c r="DS18" s="341">
        <v>6.33</v>
      </c>
      <c r="DT18" s="341">
        <v>1.75</v>
      </c>
      <c r="DU18" s="342">
        <v>2</v>
      </c>
      <c r="DV18" s="251">
        <v>0.28299999999999997</v>
      </c>
      <c r="DW18" s="257">
        <v>2</v>
      </c>
      <c r="DX18" s="340">
        <f>((PI()*DU18*DV18/4)*(DS18^2-DT18^2))*DW18</f>
        <v>32.9013067283529</v>
      </c>
      <c r="DY18" s="254">
        <f>(((DX18/386.4)*(DS18^2+DT18^2))/8)</f>
        <v>0.45907072367471541</v>
      </c>
      <c r="DZ18" s="341">
        <f ca="1">Ratio</f>
        <v>11.111000000000001</v>
      </c>
      <c r="EA18" s="256">
        <f ca="1">(DY18/(DZ18^2))</f>
        <v>3.7185472323379861E-3</v>
      </c>
    </row>
    <row r="19" spans="1:131" ht="15.75" x14ac:dyDescent="0.25">
      <c r="A19" s="250" t="s">
        <v>597</v>
      </c>
      <c r="B19" s="251">
        <v>3.1875</v>
      </c>
      <c r="C19" s="251">
        <v>1</v>
      </c>
      <c r="D19" s="251">
        <v>0.4375</v>
      </c>
      <c r="E19" s="251">
        <v>0.28299999999999997</v>
      </c>
      <c r="F19" s="257">
        <v>1</v>
      </c>
      <c r="G19" s="253">
        <f>((PI()*D19*E19/4)*(B19^2-C19^2))*F19</f>
        <v>0.89075292264742645</v>
      </c>
      <c r="H19" s="254">
        <f>(((G19/386.4)*(B19^2+C19^2))/8)</f>
        <v>3.2158843804637178E-3</v>
      </c>
      <c r="I19" s="255">
        <f ca="1">Ratio</f>
        <v>11.111000000000001</v>
      </c>
      <c r="J19" s="256">
        <f ca="1">(H19/(I19^2))</f>
        <v>2.604918446284045E-5</v>
      </c>
      <c r="L19" s="250" t="s">
        <v>597</v>
      </c>
      <c r="M19" s="251">
        <v>3.1875</v>
      </c>
      <c r="N19" s="251">
        <v>1</v>
      </c>
      <c r="O19" s="251">
        <v>0.4375</v>
      </c>
      <c r="P19" s="251">
        <v>0.28299999999999997</v>
      </c>
      <c r="Q19" s="257">
        <v>1</v>
      </c>
      <c r="R19" s="253">
        <f>((PI()*P19*O19/4)*(M19^2-N19^2))*Q19</f>
        <v>0.89075292264742645</v>
      </c>
      <c r="S19" s="254">
        <f>(((R19/386.4)*(M19^2+N19^2))/8)</f>
        <v>3.2158843804637178E-3</v>
      </c>
      <c r="T19" s="255">
        <f ca="1">Ratio</f>
        <v>11.111000000000001</v>
      </c>
      <c r="U19" s="256">
        <f ca="1">(S19/(T19^2))</f>
        <v>2.604918446284045E-5</v>
      </c>
      <c r="W19" s="250" t="s">
        <v>597</v>
      </c>
      <c r="X19" s="251">
        <v>3.1875</v>
      </c>
      <c r="Y19" s="251">
        <v>1</v>
      </c>
      <c r="Z19" s="251">
        <v>0.4375</v>
      </c>
      <c r="AA19" s="251">
        <v>0.28299999999999997</v>
      </c>
      <c r="AB19" s="257">
        <v>1</v>
      </c>
      <c r="AC19" s="253">
        <f>((PI()*Z19*AA19/4)*(X19^2-Y19^2))*AB19</f>
        <v>0.89075292264742645</v>
      </c>
      <c r="AD19" s="254">
        <f>(((AC19/386.4)*(X19^2+Y19^2))/8)</f>
        <v>3.2158843804637178E-3</v>
      </c>
      <c r="AE19" s="255">
        <f ca="1">Ratio</f>
        <v>11.111000000000001</v>
      </c>
      <c r="AF19" s="256">
        <f ca="1">(AD19/(AE19^2))</f>
        <v>2.604918446284045E-5</v>
      </c>
      <c r="AH19" s="250" t="s">
        <v>597</v>
      </c>
      <c r="AI19" s="251">
        <v>3.1875</v>
      </c>
      <c r="AJ19" s="251">
        <v>1</v>
      </c>
      <c r="AK19" s="251">
        <v>0.4375</v>
      </c>
      <c r="AL19" s="251">
        <v>0.28299999999999997</v>
      </c>
      <c r="AM19" s="257">
        <v>1</v>
      </c>
      <c r="AN19" s="253">
        <f>((PI()*AK19*AL19/4)*(AI19^2-AJ19^2))*AM19</f>
        <v>0.89075292264742645</v>
      </c>
      <c r="AO19" s="254">
        <f>(((AN19/386.4)*(AI19^2+AJ19^2))/8)</f>
        <v>3.2158843804637178E-3</v>
      </c>
      <c r="AP19" s="255">
        <f ca="1">Ratio</f>
        <v>11.111000000000001</v>
      </c>
      <c r="AQ19" s="256">
        <f ca="1">(AO19/(AP19^2))</f>
        <v>2.604918446284045E-5</v>
      </c>
      <c r="AS19" s="250" t="s">
        <v>598</v>
      </c>
      <c r="AT19" s="251">
        <v>7.9</v>
      </c>
      <c r="AU19" s="251">
        <v>2.1880000000000002</v>
      </c>
      <c r="AV19" s="251">
        <v>0.87</v>
      </c>
      <c r="AW19" s="251">
        <v>0.28299999999999997</v>
      </c>
      <c r="AX19" s="257">
        <v>1</v>
      </c>
      <c r="AY19" s="253">
        <f>((PI()*AV19*AW19/4)*(AT19^2-AU19^2))*AX19</f>
        <v>11.142659048271227</v>
      </c>
      <c r="AZ19" s="254">
        <f>(((AY19/386.4)*(AT19^2+AU19^2))/8)</f>
        <v>0.2422221445203786</v>
      </c>
      <c r="BA19" s="251">
        <f ca="1">Ratio</f>
        <v>11.111000000000001</v>
      </c>
      <c r="BB19" s="256">
        <f ca="1">(AZ19/(BA19^2))</f>
        <v>1.9620386111910862E-3</v>
      </c>
      <c r="BD19" s="250" t="s">
        <v>599</v>
      </c>
      <c r="BE19" s="251">
        <v>7.9</v>
      </c>
      <c r="BF19" s="251">
        <v>2.1880000000000002</v>
      </c>
      <c r="BG19" s="251">
        <v>0.87</v>
      </c>
      <c r="BH19" s="251">
        <v>0.28299999999999997</v>
      </c>
      <c r="BI19" s="257">
        <v>1</v>
      </c>
      <c r="BJ19" s="253">
        <f>((PI()*BG19*BH19/4)*(BE19^2-BF19^2))*BI19</f>
        <v>11.142659048271227</v>
      </c>
      <c r="BK19" s="254">
        <f>(((BJ19/386.4)*(BE19^2+BF19^2))/8)</f>
        <v>0.2422221445203786</v>
      </c>
      <c r="BL19" s="251">
        <f ca="1">Ratio</f>
        <v>11.111000000000001</v>
      </c>
      <c r="BM19" s="256">
        <f ca="1">(BK19/(BL19^2))</f>
        <v>1.9620386111910862E-3</v>
      </c>
      <c r="BO19" s="250" t="s">
        <v>598</v>
      </c>
      <c r="BP19" s="251">
        <v>7.9</v>
      </c>
      <c r="BQ19" s="251">
        <v>2.1875</v>
      </c>
      <c r="BR19" s="251">
        <v>0.87</v>
      </c>
      <c r="BS19" s="251">
        <v>0.28299999999999997</v>
      </c>
      <c r="BT19" s="257">
        <v>1</v>
      </c>
      <c r="BU19" s="253">
        <f>((PI()*BR19*BS19/4)*(BP19^2-BQ19^2))*BT19</f>
        <v>11.143082099793407</v>
      </c>
      <c r="BV19" s="254">
        <f>(((BU19/386.4)*(BP19^2+BQ19^2))/8)</f>
        <v>0.24222345458145575</v>
      </c>
      <c r="BW19" s="255">
        <f ca="1">Ratio</f>
        <v>11.111000000000001</v>
      </c>
      <c r="BX19" s="256">
        <f ca="1">(BV19/(BW19^2))</f>
        <v>1.9620492228980442E-3</v>
      </c>
      <c r="BZ19" s="250" t="s">
        <v>599</v>
      </c>
      <c r="CA19" s="251">
        <v>7.9</v>
      </c>
      <c r="CB19" s="251">
        <v>2.1875</v>
      </c>
      <c r="CC19" s="251">
        <v>0.87</v>
      </c>
      <c r="CD19" s="251">
        <v>0.28299999999999997</v>
      </c>
      <c r="CE19" s="257">
        <v>1</v>
      </c>
      <c r="CF19" s="253">
        <f>((PI()*CC19*CD19/4)*(CA19^2-CB19^2))*CE19</f>
        <v>11.143082099793407</v>
      </c>
      <c r="CG19" s="254">
        <f>(((CF19/386.4)*(CA19^2+CB19^2))/8)</f>
        <v>0.24222345458145575</v>
      </c>
      <c r="CH19" s="255">
        <f ca="1">Ratio</f>
        <v>11.111000000000001</v>
      </c>
      <c r="CI19" s="256">
        <f ca="1">(CG19/(CH19^2))</f>
        <v>1.9620492228980442E-3</v>
      </c>
      <c r="CK19" s="250" t="s">
        <v>600</v>
      </c>
      <c r="CL19" s="251">
        <v>3</v>
      </c>
      <c r="CM19" s="251">
        <v>2</v>
      </c>
      <c r="CN19" s="251">
        <v>1.5</v>
      </c>
      <c r="CO19" s="251">
        <v>0.28299999999999997</v>
      </c>
      <c r="CP19" s="257">
        <v>2</v>
      </c>
      <c r="CQ19" s="253">
        <f>((PI()*CN19*CO19/4)*(CL19^2-CM19^2))*CP19</f>
        <v>3.3340152036221675</v>
      </c>
      <c r="CR19" s="254">
        <f>(((CQ19/386.4)*(CL19^2+CM19^2))/8)</f>
        <v>1.4021156071133597E-2</v>
      </c>
      <c r="CS19" s="255">
        <f ca="1">Ratio</f>
        <v>11.111000000000001</v>
      </c>
      <c r="CT19" s="256">
        <f ca="1">(CR19/(CS19^2))</f>
        <v>1.1357363563753751E-4</v>
      </c>
      <c r="CV19" s="250" t="s">
        <v>601</v>
      </c>
      <c r="CW19" s="255">
        <v>5.33</v>
      </c>
      <c r="CX19" s="339">
        <v>1.75</v>
      </c>
      <c r="CY19" s="339">
        <v>2</v>
      </c>
      <c r="CZ19" s="251">
        <v>0.28299999999999997</v>
      </c>
      <c r="DA19" s="257">
        <v>2</v>
      </c>
      <c r="DB19" s="340">
        <f>((PI()*CY19*CZ19/4)*(CW19^2-CX19^2))*DA19</f>
        <v>22.534742121890375</v>
      </c>
      <c r="DC19" s="254">
        <f>(((DB19/386.4)*(CW19^2+CX19^2))/8)</f>
        <v>0.22942542805863766</v>
      </c>
      <c r="DD19" s="255">
        <f ca="1">(CW19/CW16)*Ratio</f>
        <v>10.158084048027444</v>
      </c>
      <c r="DE19" s="256">
        <f ca="1">(DC19/(DD19^2))</f>
        <v>2.2234017694724609E-3</v>
      </c>
      <c r="DG19" s="250"/>
      <c r="DH19" s="339"/>
      <c r="DI19" s="339"/>
      <c r="DJ19" s="339"/>
      <c r="DK19" s="254"/>
      <c r="DL19" s="245"/>
      <c r="DM19" s="340"/>
      <c r="DN19" s="254"/>
      <c r="DO19" s="255"/>
      <c r="DP19" s="256"/>
      <c r="DR19" s="250" t="s">
        <v>593</v>
      </c>
      <c r="DS19" s="341">
        <v>3.375</v>
      </c>
      <c r="DT19" s="341">
        <v>1.75</v>
      </c>
      <c r="DU19" s="342">
        <v>1.5</v>
      </c>
      <c r="DV19" s="251">
        <v>0.28299999999999997</v>
      </c>
      <c r="DW19" s="257">
        <v>2</v>
      </c>
      <c r="DX19" s="340">
        <f>((PI()*DU19*DV19/4)*(DS19^2-DT19^2))*DW19</f>
        <v>5.5532190735331728</v>
      </c>
      <c r="DY19" s="254">
        <f>(((DX19/386.4)*(DS19^2+DT19^2))/8)</f>
        <v>2.5964469921764734E-2</v>
      </c>
      <c r="DZ19" s="341">
        <f ca="1">Ratio</f>
        <v>11.111000000000001</v>
      </c>
      <c r="EA19" s="256">
        <f ca="1">(DY19/(DZ19^2))</f>
        <v>2.1031641267351615E-4</v>
      </c>
    </row>
    <row r="20" spans="1:131" ht="15.75" x14ac:dyDescent="0.25">
      <c r="A20" s="250" t="s">
        <v>602</v>
      </c>
      <c r="B20" s="251">
        <v>2.1875</v>
      </c>
      <c r="C20" s="251">
        <v>1</v>
      </c>
      <c r="D20" s="251">
        <v>0.875</v>
      </c>
      <c r="E20" s="251">
        <v>0.28299999999999997</v>
      </c>
      <c r="F20" s="257">
        <v>1</v>
      </c>
      <c r="G20" s="253">
        <f>((PI()*D20*E20/4)*(B20^2-C20^2))*F20</f>
        <v>0.73615316165915246</v>
      </c>
      <c r="H20" s="254">
        <f>(((G20/386.4)*(B20^2+C20^2))/8)</f>
        <v>1.3777047955906142E-3</v>
      </c>
      <c r="I20" s="255">
        <f ca="1">Ratio</f>
        <v>11.111000000000001</v>
      </c>
      <c r="J20" s="256">
        <f ca="1">(H20/(I20^2))</f>
        <v>1.1159632035808726E-5</v>
      </c>
      <c r="L20" s="250" t="s">
        <v>602</v>
      </c>
      <c r="M20" s="251">
        <v>2.1875</v>
      </c>
      <c r="N20" s="251">
        <v>1</v>
      </c>
      <c r="O20" s="251">
        <v>0.875</v>
      </c>
      <c r="P20" s="251">
        <v>0.28299999999999997</v>
      </c>
      <c r="Q20" s="257">
        <v>1</v>
      </c>
      <c r="R20" s="253">
        <f>((PI()*P20*O20/4)*(M20^2-N20^2))*Q20</f>
        <v>0.73615316165915246</v>
      </c>
      <c r="S20" s="254">
        <f>(((R20/386.4)*(M20^2+N20^2))/8)</f>
        <v>1.3777047955906142E-3</v>
      </c>
      <c r="T20" s="255">
        <f ca="1">Ratio</f>
        <v>11.111000000000001</v>
      </c>
      <c r="U20" s="256">
        <f ca="1">(S20/(T20^2))</f>
        <v>1.1159632035808726E-5</v>
      </c>
      <c r="W20" s="250" t="s">
        <v>602</v>
      </c>
      <c r="X20" s="251">
        <v>2.1875</v>
      </c>
      <c r="Y20" s="251">
        <v>1</v>
      </c>
      <c r="Z20" s="251">
        <v>0.875</v>
      </c>
      <c r="AA20" s="251">
        <v>0.28299999999999997</v>
      </c>
      <c r="AB20" s="257">
        <v>1</v>
      </c>
      <c r="AC20" s="253">
        <f>((PI()*Z20*AA20/4)*(X20^2-Y20^2))*AB20</f>
        <v>0.73615316165915246</v>
      </c>
      <c r="AD20" s="254">
        <f>(((AC20/386.4)*(X20^2+Y20^2))/8)</f>
        <v>1.3777047955906142E-3</v>
      </c>
      <c r="AE20" s="255">
        <f ca="1">Ratio</f>
        <v>11.111000000000001</v>
      </c>
      <c r="AF20" s="256">
        <f ca="1">(AD20/(AE20^2))</f>
        <v>1.1159632035808726E-5</v>
      </c>
      <c r="AH20" s="250" t="s">
        <v>602</v>
      </c>
      <c r="AI20" s="251">
        <v>2.1875</v>
      </c>
      <c r="AJ20" s="251">
        <v>1</v>
      </c>
      <c r="AK20" s="251">
        <v>0.875</v>
      </c>
      <c r="AL20" s="251">
        <v>0.28299999999999997</v>
      </c>
      <c r="AM20" s="257">
        <v>1</v>
      </c>
      <c r="AN20" s="253">
        <f>((PI()*AK20*AL20/4)*(AI20^2-AJ20^2))*AM20</f>
        <v>0.73615316165915246</v>
      </c>
      <c r="AO20" s="254">
        <f>(((AN20/386.4)*(AI20^2+AJ20^2))/8)</f>
        <v>1.3777047955906142E-3</v>
      </c>
      <c r="AP20" s="255">
        <f ca="1">Ratio</f>
        <v>11.111000000000001</v>
      </c>
      <c r="AQ20" s="256">
        <f ca="1">(AO20/(AP20^2))</f>
        <v>1.1159632035808726E-5</v>
      </c>
      <c r="AS20" s="250"/>
      <c r="AT20" s="251"/>
      <c r="AU20" s="251"/>
      <c r="AV20" s="251"/>
      <c r="AW20" s="251"/>
      <c r="AX20" s="245"/>
      <c r="AY20" s="253"/>
      <c r="AZ20" s="254"/>
      <c r="BA20" s="251"/>
      <c r="BB20" s="256"/>
      <c r="BD20" s="250"/>
      <c r="BE20" s="251"/>
      <c r="BF20" s="251"/>
      <c r="BG20" s="251"/>
      <c r="BH20" s="251"/>
      <c r="BI20" s="245"/>
      <c r="BJ20" s="253"/>
      <c r="BK20" s="254"/>
      <c r="BL20" s="251"/>
      <c r="BM20" s="245"/>
      <c r="BO20" s="250"/>
      <c r="BP20" s="251"/>
      <c r="BQ20" s="251"/>
      <c r="BR20" s="251"/>
      <c r="BS20" s="251"/>
      <c r="BT20" s="257"/>
      <c r="BU20" s="344"/>
      <c r="BV20" s="254"/>
      <c r="BW20" s="255"/>
      <c r="BX20" s="256"/>
      <c r="BZ20" s="250"/>
      <c r="CA20" s="251"/>
      <c r="CB20" s="251"/>
      <c r="CC20" s="251"/>
      <c r="CD20" s="251"/>
      <c r="CE20" s="257"/>
      <c r="CF20" s="344"/>
      <c r="CG20" s="254"/>
      <c r="CH20" s="255"/>
      <c r="CI20" s="256"/>
      <c r="CK20" s="250"/>
      <c r="CL20" s="251"/>
      <c r="CM20" s="251"/>
      <c r="CN20" s="251"/>
      <c r="CO20" s="251"/>
      <c r="CP20" s="245"/>
      <c r="CQ20" s="253"/>
      <c r="CR20" s="254"/>
      <c r="CS20" s="245"/>
      <c r="CT20" s="245"/>
      <c r="CV20" s="250" t="s">
        <v>593</v>
      </c>
      <c r="CW20" s="255">
        <v>3.125</v>
      </c>
      <c r="CX20" s="339">
        <v>1.75</v>
      </c>
      <c r="CY20" s="339">
        <v>2</v>
      </c>
      <c r="CZ20" s="251">
        <v>0.28299999999999997</v>
      </c>
      <c r="DA20" s="257">
        <v>2</v>
      </c>
      <c r="DB20" s="340">
        <f>((PI()*CY20*CZ20/4)*(CW20^2-CX20^2))*DA20</f>
        <v>5.9595521764746247</v>
      </c>
      <c r="DC20" s="254">
        <f>(((DB20/386.4)*(CW20^2+CX20^2))/8)</f>
        <v>2.4731457124688973E-2</v>
      </c>
      <c r="DD20" s="255">
        <f ca="1">(CW19/CW16)*Ratio</f>
        <v>10.158084048027444</v>
      </c>
      <c r="DE20" s="256">
        <f ca="1">(DC20/(DD20^2))</f>
        <v>2.3967685708583129E-4</v>
      </c>
      <c r="DG20" s="250" t="s">
        <v>603</v>
      </c>
      <c r="DH20" s="339">
        <v>6.33</v>
      </c>
      <c r="DI20" s="339">
        <v>1.75</v>
      </c>
      <c r="DJ20" s="339">
        <v>1.75</v>
      </c>
      <c r="DK20" s="254">
        <v>0.28299999999999997</v>
      </c>
      <c r="DL20" s="257">
        <v>2</v>
      </c>
      <c r="DM20" s="340">
        <f>((PI()*DJ20*DK20/4)*(DH20^2-DI20^2))*DL20</f>
        <v>28.788643387308788</v>
      </c>
      <c r="DN20" s="254">
        <f>(((DM20/386.4)*(DH20^2+DI20^2))/8)</f>
        <v>0.40168688321537599</v>
      </c>
      <c r="DO20" s="255">
        <f ca="1">Ratio</f>
        <v>11.111000000000001</v>
      </c>
      <c r="DP20" s="256">
        <f ca="1">(DN20/(DO20^2))</f>
        <v>3.253728828295738E-3</v>
      </c>
      <c r="DR20" s="250"/>
      <c r="DS20" s="341"/>
      <c r="DT20" s="341"/>
      <c r="DU20" s="258"/>
      <c r="DV20" s="251"/>
      <c r="DW20" s="245"/>
      <c r="DX20" s="340"/>
      <c r="DY20" s="254"/>
      <c r="DZ20" s="341"/>
      <c r="EA20" s="256"/>
    </row>
    <row r="21" spans="1:131" ht="15.75" x14ac:dyDescent="0.25">
      <c r="A21" s="250"/>
      <c r="B21" s="251"/>
      <c r="C21" s="251"/>
      <c r="D21" s="251"/>
      <c r="E21" s="251"/>
      <c r="F21" s="245"/>
      <c r="G21" s="253"/>
      <c r="H21" s="254"/>
      <c r="I21" s="245"/>
      <c r="J21" s="256"/>
      <c r="L21" s="250"/>
      <c r="M21" s="251"/>
      <c r="N21" s="251"/>
      <c r="O21" s="251"/>
      <c r="P21" s="251"/>
      <c r="Q21" s="245"/>
      <c r="R21" s="253"/>
      <c r="S21" s="254"/>
      <c r="T21" s="245"/>
      <c r="U21" s="256"/>
      <c r="W21" s="250"/>
      <c r="X21" s="251"/>
      <c r="Y21" s="251"/>
      <c r="Z21" s="251"/>
      <c r="AA21" s="251"/>
      <c r="AB21" s="245"/>
      <c r="AC21" s="253"/>
      <c r="AD21" s="254"/>
      <c r="AE21" s="245"/>
      <c r="AF21" s="256"/>
      <c r="AH21" s="250"/>
      <c r="AI21" s="251"/>
      <c r="AJ21" s="251"/>
      <c r="AK21" s="251"/>
      <c r="AL21" s="251"/>
      <c r="AM21" s="245"/>
      <c r="AN21" s="253"/>
      <c r="AO21" s="254"/>
      <c r="AP21" s="245"/>
      <c r="AQ21" s="245"/>
      <c r="AS21" s="250" t="s">
        <v>597</v>
      </c>
      <c r="AT21" s="251">
        <v>3.1880000000000002</v>
      </c>
      <c r="AU21" s="251">
        <v>1.25</v>
      </c>
      <c r="AV21" s="251">
        <v>0.438</v>
      </c>
      <c r="AW21" s="251">
        <v>0.28299999999999997</v>
      </c>
      <c r="AX21" s="257">
        <v>1</v>
      </c>
      <c r="AY21" s="253">
        <f>((PI()*AV21*AW21/4)*(AT21^2-AU21^2))*AX21</f>
        <v>0.83732006407148896</v>
      </c>
      <c r="AZ21" s="254">
        <f>(((AY21/386.4)*(AT21^2+AU21^2))/8)</f>
        <v>3.1762048555163971E-3</v>
      </c>
      <c r="BA21" s="251">
        <f ca="1">Ratio</f>
        <v>11.111000000000001</v>
      </c>
      <c r="BB21" s="256">
        <f ca="1">(AZ21/(BA21^2))</f>
        <v>2.5727773882587684E-5</v>
      </c>
      <c r="BD21" s="250" t="s">
        <v>597</v>
      </c>
      <c r="BE21" s="251">
        <v>3.1880000000000002</v>
      </c>
      <c r="BF21" s="251">
        <v>1.25</v>
      </c>
      <c r="BG21" s="251">
        <v>0.438</v>
      </c>
      <c r="BH21" s="251">
        <v>0.28299999999999997</v>
      </c>
      <c r="BI21" s="257">
        <v>1</v>
      </c>
      <c r="BJ21" s="253">
        <f>((PI()*BG21*BH21/4)*(BE21^2-BF21^2))*BI21</f>
        <v>0.83732006407148896</v>
      </c>
      <c r="BK21" s="254">
        <f>(((BJ21/386.4)*(BE21^2+BF21^2))/8)</f>
        <v>3.1762048555163971E-3</v>
      </c>
      <c r="BL21" s="251">
        <f ca="1">Ratio</f>
        <v>11.111000000000001</v>
      </c>
      <c r="BM21" s="256">
        <f ca="1">(BK21/(BL21^2))</f>
        <v>2.5727773882587684E-5</v>
      </c>
      <c r="BO21" s="250" t="s">
        <v>597</v>
      </c>
      <c r="BP21" s="251">
        <v>3.1875</v>
      </c>
      <c r="BQ21" s="251">
        <v>1.875</v>
      </c>
      <c r="BR21" s="251">
        <v>0.438</v>
      </c>
      <c r="BS21" s="251">
        <v>0.28299999999999997</v>
      </c>
      <c r="BT21" s="257">
        <v>1</v>
      </c>
      <c r="BU21" s="253">
        <f>((PI()*BR21*BS21/4)*(BP21^2-BQ21^2))*BT21</f>
        <v>0.64686667168652401</v>
      </c>
      <c r="BV21" s="254">
        <f>(((BU21/386.4)*(BP21^2+BQ21^2))/8)</f>
        <v>2.8618035390464776E-3</v>
      </c>
      <c r="BW21" s="255">
        <f ca="1">Ratio</f>
        <v>11.111000000000001</v>
      </c>
      <c r="BX21" s="256">
        <f ca="1">(BV21/(BW21^2))</f>
        <v>2.3181072285404066E-5</v>
      </c>
      <c r="BZ21" s="250" t="s">
        <v>597</v>
      </c>
      <c r="CA21" s="251">
        <v>3.1875</v>
      </c>
      <c r="CB21" s="251">
        <v>1.875</v>
      </c>
      <c r="CC21" s="251">
        <v>0.438</v>
      </c>
      <c r="CD21" s="251">
        <v>0.28299999999999997</v>
      </c>
      <c r="CE21" s="257">
        <v>1</v>
      </c>
      <c r="CF21" s="253">
        <f>((PI()*CC21*CD21/4)*(CA21^2-CB21^2))*CE21</f>
        <v>0.64686667168652401</v>
      </c>
      <c r="CG21" s="254">
        <f>(((CF21/386.4)*(CA21^2+CB21^2))/8)</f>
        <v>2.8618035390464776E-3</v>
      </c>
      <c r="CH21" s="255">
        <f ca="1">Ratio</f>
        <v>11.111000000000001</v>
      </c>
      <c r="CI21" s="256">
        <f ca="1">(CG21/(CH21^2))</f>
        <v>2.3181072285404066E-5</v>
      </c>
      <c r="CK21" s="250" t="s">
        <v>587</v>
      </c>
      <c r="CL21" s="251">
        <v>14.382999999999999</v>
      </c>
      <c r="CM21" s="251">
        <v>13.2</v>
      </c>
      <c r="CN21" s="251">
        <v>2.38</v>
      </c>
      <c r="CO21" s="251">
        <v>0.28299999999999997</v>
      </c>
      <c r="CP21" s="257">
        <v>1</v>
      </c>
      <c r="CQ21" s="253">
        <f>((PI()*CN21*CO21/4)*(CL21^2-CM21^2))*CP21</f>
        <v>17.261539165932433</v>
      </c>
      <c r="CR21" s="254">
        <f>(((CQ21/386.4)*(CL21^2+CM21^2))/8)</f>
        <v>2.1281564068093277</v>
      </c>
      <c r="CS21" s="255">
        <f ca="1">Ratio</f>
        <v>11.111000000000001</v>
      </c>
      <c r="CT21" s="256">
        <f ca="1">(CR21/(CS21^2))</f>
        <v>1.7238411661664944E-2</v>
      </c>
      <c r="CV21" s="250"/>
      <c r="CW21" s="257"/>
      <c r="CX21" s="339"/>
      <c r="CY21" s="339"/>
      <c r="CZ21" s="257"/>
      <c r="DA21" s="257"/>
      <c r="DB21" s="340"/>
      <c r="DC21" s="254"/>
      <c r="DD21" s="255"/>
      <c r="DE21" s="256"/>
      <c r="DG21" s="250" t="s">
        <v>593</v>
      </c>
      <c r="DH21" s="339">
        <v>3.38</v>
      </c>
      <c r="DI21" s="339">
        <v>1.75</v>
      </c>
      <c r="DJ21" s="339">
        <v>1.75</v>
      </c>
      <c r="DK21" s="254">
        <v>0.28299999999999997</v>
      </c>
      <c r="DL21" s="257">
        <v>2</v>
      </c>
      <c r="DM21" s="340">
        <f>((PI()*DJ21*DK21/4)*(DH21^2-DI21^2))*DL21</f>
        <v>6.5050304039392461</v>
      </c>
      <c r="DN21" s="254">
        <f>(((DM21/386.4)*(DH21^2+DI21^2))/8)</f>
        <v>3.0485806469599981E-2</v>
      </c>
      <c r="DO21" s="255">
        <f ca="1">Ratio</f>
        <v>11.111000000000001</v>
      </c>
      <c r="DP21" s="256">
        <f ca="1">(DN21/(DO21^2))</f>
        <v>2.4693997117848936E-4</v>
      </c>
      <c r="DR21" s="250" t="s">
        <v>604</v>
      </c>
      <c r="DS21" s="341">
        <v>6.33</v>
      </c>
      <c r="DT21" s="341">
        <v>1.75</v>
      </c>
      <c r="DU21" s="342">
        <v>2</v>
      </c>
      <c r="DV21" s="251">
        <v>0.28299999999999997</v>
      </c>
      <c r="DW21" s="257">
        <v>2</v>
      </c>
      <c r="DX21" s="340">
        <f>((PI()*DU21*DV21/4)*(DS21^2-DT21^2))*DW21</f>
        <v>32.9013067283529</v>
      </c>
      <c r="DY21" s="254">
        <f>(((DX21/386.4)*(DS21^2+DT21^2))/8)</f>
        <v>0.45907072367471541</v>
      </c>
      <c r="DZ21" s="341">
        <f ca="1">(DS21/DS18)*Ratio</f>
        <v>11.111000000000001</v>
      </c>
      <c r="EA21" s="256">
        <f ca="1">(DY21/(DZ21^2))</f>
        <v>3.7185472323379861E-3</v>
      </c>
    </row>
    <row r="22" spans="1:131" ht="15.75" x14ac:dyDescent="0.25">
      <c r="A22" s="250" t="s">
        <v>605</v>
      </c>
      <c r="B22" s="251">
        <v>1.831</v>
      </c>
      <c r="C22" s="251">
        <v>0.94499999999999995</v>
      </c>
      <c r="D22" s="251">
        <v>1.28</v>
      </c>
      <c r="E22" s="251">
        <v>0.28299999999999997</v>
      </c>
      <c r="F22" s="257">
        <v>1</v>
      </c>
      <c r="G22" s="253">
        <f>((PI()*D22*E22/4)*(B22^2-C22^2))*F22</f>
        <v>0.69974446232371645</v>
      </c>
      <c r="H22" s="254">
        <f>(((G22/386.4)*(B22^2+C22^2))/8)</f>
        <v>9.6105890683847626E-4</v>
      </c>
      <c r="I22" s="255">
        <f>IF(I32=0,1,I32)</f>
        <v>1</v>
      </c>
      <c r="J22" s="256">
        <f>(H22/(I22^2))</f>
        <v>9.6105890683847626E-4</v>
      </c>
      <c r="L22" s="250" t="s">
        <v>605</v>
      </c>
      <c r="M22" s="251">
        <v>1.831</v>
      </c>
      <c r="N22" s="251">
        <v>0.625</v>
      </c>
      <c r="O22" s="251">
        <v>1.28</v>
      </c>
      <c r="P22" s="251">
        <v>0.28299999999999997</v>
      </c>
      <c r="Q22" s="257">
        <v>1</v>
      </c>
      <c r="R22" s="253">
        <f>((PI()*P22*O22/4)*(M22^2-N22^2))*Q22</f>
        <v>0.84267858399196405</v>
      </c>
      <c r="S22" s="254">
        <f>(((R22/386.4)*(M22^2+N22^2))/8)</f>
        <v>1.0204136510411957E-3</v>
      </c>
      <c r="T22" s="255">
        <f>IF(T32=0,1,T32)</f>
        <v>1</v>
      </c>
      <c r="U22" s="256">
        <f>(S22/(T22^2))</f>
        <v>1.0204136510411957E-3</v>
      </c>
      <c r="W22" s="250" t="s">
        <v>605</v>
      </c>
      <c r="X22" s="251">
        <v>2.319</v>
      </c>
      <c r="Y22" s="251">
        <v>0.875</v>
      </c>
      <c r="Z22" s="251">
        <v>1.28</v>
      </c>
      <c r="AA22" s="251">
        <v>0.28299999999999997</v>
      </c>
      <c r="AB22" s="257">
        <v>1</v>
      </c>
      <c r="AC22" s="253">
        <f>((PI()*Z22*AA22/4)*(X22^2-Y22^2))*AB22</f>
        <v>1.3121648251881071</v>
      </c>
      <c r="AD22" s="254">
        <f>(((AC22/386.4)*(X22^2+Y22^2))/8)</f>
        <v>2.6077688330593506E-3</v>
      </c>
      <c r="AE22" s="255">
        <f>IF(AE32=0,1,AE32)</f>
        <v>1</v>
      </c>
      <c r="AF22" s="256">
        <f>(AD22/(AE22^2))</f>
        <v>2.6077688330593506E-3</v>
      </c>
      <c r="AH22" s="250" t="s">
        <v>605</v>
      </c>
      <c r="AI22" s="251">
        <v>2.319</v>
      </c>
      <c r="AJ22" s="251">
        <v>0.875</v>
      </c>
      <c r="AK22" s="251">
        <v>1.28</v>
      </c>
      <c r="AL22" s="251">
        <v>0.28299999999999997</v>
      </c>
      <c r="AM22" s="257">
        <v>1</v>
      </c>
      <c r="AN22" s="253">
        <f>((PI()*AK22*AL22/4)*(AI22^2-AJ22^2))*AM22</f>
        <v>1.3121648251881071</v>
      </c>
      <c r="AO22" s="254">
        <f>(((AN22/386.4)*(AI22^2+AJ22^2))/8)</f>
        <v>2.6077688330593506E-3</v>
      </c>
      <c r="AP22" s="255">
        <f>IF(AP32=0,1,AP32)</f>
        <v>1</v>
      </c>
      <c r="AQ22" s="256">
        <f>(AO22/(AP22^2))</f>
        <v>2.6077688330593506E-3</v>
      </c>
      <c r="AS22" s="250" t="s">
        <v>606</v>
      </c>
      <c r="AT22" s="251">
        <v>2.1880000000000002</v>
      </c>
      <c r="AU22" s="251">
        <v>1.25</v>
      </c>
      <c r="AV22" s="251">
        <v>0.875</v>
      </c>
      <c r="AW22" s="251">
        <v>0.28299999999999997</v>
      </c>
      <c r="AX22" s="257">
        <v>1</v>
      </c>
      <c r="AY22" s="253">
        <f>((PI()*AV22*AW22/4)*(AT22^2-AU22^2))*AX22</f>
        <v>0.6271812706430675</v>
      </c>
      <c r="AZ22" s="254">
        <f>(((AY22/386.4)*(AT22^2+AU22^2))/8)</f>
        <v>1.2883356716826019E-3</v>
      </c>
      <c r="BA22" s="251">
        <f ca="1">Ratio</f>
        <v>11.111000000000001</v>
      </c>
      <c r="BB22" s="256">
        <f ca="1">(AZ22/(BA22^2))</f>
        <v>1.0435727654138584E-5</v>
      </c>
      <c r="BD22" s="250" t="s">
        <v>606</v>
      </c>
      <c r="BE22" s="251">
        <v>2.1880000000000002</v>
      </c>
      <c r="BF22" s="251">
        <v>1.25</v>
      </c>
      <c r="BG22" s="251">
        <v>0.875</v>
      </c>
      <c r="BH22" s="251">
        <v>0.28299999999999997</v>
      </c>
      <c r="BI22" s="257">
        <v>1</v>
      </c>
      <c r="BJ22" s="253">
        <f>((PI()*BG22*BH22/4)*(BE22^2-BF22^2))*BI22</f>
        <v>0.6271812706430675</v>
      </c>
      <c r="BK22" s="254">
        <f>(((BJ22/386.4)*(BE22^2+BF22^2))/8)</f>
        <v>1.2883356716826019E-3</v>
      </c>
      <c r="BL22" s="251">
        <f ca="1">Ratio</f>
        <v>11.111000000000001</v>
      </c>
      <c r="BM22" s="256">
        <f ca="1">(BK22/(BL22^2))</f>
        <v>1.0435727654138584E-5</v>
      </c>
      <c r="BO22" s="250" t="s">
        <v>607</v>
      </c>
      <c r="BP22" s="251">
        <v>2.1875</v>
      </c>
      <c r="BQ22" s="251">
        <v>1.875</v>
      </c>
      <c r="BR22" s="251">
        <v>0.875</v>
      </c>
      <c r="BS22" s="251">
        <v>0.28299999999999997</v>
      </c>
      <c r="BT22" s="257">
        <v>1</v>
      </c>
      <c r="BU22" s="253">
        <f>((PI()*BR22*BS22/4)*(BP22^2-BQ22^2))*BT22</f>
        <v>0.24690379519011821</v>
      </c>
      <c r="BV22" s="254">
        <f>(((BU22/386.4)*(BP22^2+BQ22^2))/8)</f>
        <v>6.6300931472178237E-4</v>
      </c>
      <c r="BW22" s="255">
        <f ca="1">Ratio</f>
        <v>11.111000000000001</v>
      </c>
      <c r="BX22" s="256">
        <f ca="1">(BV22/(BW22^2))</f>
        <v>5.3704828583665551E-6</v>
      </c>
      <c r="BZ22" s="250" t="s">
        <v>607</v>
      </c>
      <c r="CA22" s="251">
        <v>2.1875</v>
      </c>
      <c r="CB22" s="251">
        <v>1.875</v>
      </c>
      <c r="CC22" s="251">
        <v>0.875</v>
      </c>
      <c r="CD22" s="251">
        <v>0.28299999999999997</v>
      </c>
      <c r="CE22" s="257">
        <v>1</v>
      </c>
      <c r="CF22" s="253">
        <f>((PI()*CC22*CD22/4)*(CA22^2-CB22^2))*CE22</f>
        <v>0.24690379519011821</v>
      </c>
      <c r="CG22" s="254">
        <f>(((CF22/386.4)*(CA22^2+CB22^2))/8)</f>
        <v>6.6300931472178237E-4</v>
      </c>
      <c r="CH22" s="255">
        <f ca="1">Ratio</f>
        <v>11.111000000000001</v>
      </c>
      <c r="CI22" s="256">
        <f ca="1">(CG22/(CH22^2))</f>
        <v>5.3704828583665551E-6</v>
      </c>
      <c r="CK22" s="250" t="s">
        <v>608</v>
      </c>
      <c r="CL22" s="251">
        <v>13.2</v>
      </c>
      <c r="CM22" s="251">
        <v>3.8340000000000001</v>
      </c>
      <c r="CN22" s="251">
        <v>2.375</v>
      </c>
      <c r="CO22" s="251">
        <v>0.28299999999999997</v>
      </c>
      <c r="CP22" s="257">
        <v>1</v>
      </c>
      <c r="CQ22" s="253">
        <f>((PI()*CN22*CO22/4)*(CL22^2-CM22^2))*CP22</f>
        <v>84.219125432366567</v>
      </c>
      <c r="CR22" s="254">
        <f>(((CQ22/386.4)*(CL22^2+CM22^2))/8)</f>
        <v>5.1476203952832709</v>
      </c>
      <c r="CS22" s="255">
        <f ca="1">Ratio</f>
        <v>11.111000000000001</v>
      </c>
      <c r="CT22" s="256">
        <f ca="1">(CR22/(CS22^2))</f>
        <v>4.169655912880741E-2</v>
      </c>
      <c r="CV22" s="250" t="s">
        <v>587</v>
      </c>
      <c r="CW22" s="255">
        <v>8.77</v>
      </c>
      <c r="CX22" s="339">
        <v>4</v>
      </c>
      <c r="CY22" s="339">
        <v>2</v>
      </c>
      <c r="CZ22" s="251">
        <v>0.28299999999999997</v>
      </c>
      <c r="DA22" s="257">
        <v>1</v>
      </c>
      <c r="DB22" s="340">
        <f>((PI()*CY22*CZ22/4)*(CW22^2-CX22^2))*DA22</f>
        <v>27.077937959562227</v>
      </c>
      <c r="DC22" s="254">
        <f>(((DB22/386.4)*(CW22^2+CX22^2))/8)</f>
        <v>0.81388772704548695</v>
      </c>
      <c r="DD22" s="255">
        <f ca="1">Ratio</f>
        <v>11.111000000000001</v>
      </c>
      <c r="DE22" s="256">
        <f ca="1">(DC22/(DD22^2))</f>
        <v>6.5926224408579979E-3</v>
      </c>
      <c r="DG22" s="250"/>
      <c r="DH22" s="339"/>
      <c r="DI22" s="339"/>
      <c r="DJ22" s="339"/>
      <c r="DK22" s="254"/>
      <c r="DL22" s="245"/>
      <c r="DM22" s="340"/>
      <c r="DN22" s="254"/>
      <c r="DO22" s="255"/>
      <c r="DP22" s="256"/>
      <c r="DR22" s="250" t="s">
        <v>593</v>
      </c>
      <c r="DS22" s="341">
        <v>3.38</v>
      </c>
      <c r="DT22" s="341">
        <v>1.75</v>
      </c>
      <c r="DU22" s="342">
        <v>1.5</v>
      </c>
      <c r="DV22" s="251">
        <v>0.28299999999999997</v>
      </c>
      <c r="DW22" s="257">
        <v>2</v>
      </c>
      <c r="DX22" s="340">
        <f>((PI()*DU22*DV22/4)*(DS22^2-DT22^2))*DW22</f>
        <v>5.5757403462336397</v>
      </c>
      <c r="DY22" s="254">
        <f>(((DX22/386.4)*(DS22^2+DT22^2))/8)</f>
        <v>2.6130691259657127E-2</v>
      </c>
      <c r="DZ22" s="341">
        <f ca="1">(DS21/DS18)*Ratio</f>
        <v>11.111000000000001</v>
      </c>
      <c r="EA22" s="256">
        <f ca="1">(DY22/(DZ22^2))</f>
        <v>2.1166283243870517E-4</v>
      </c>
    </row>
    <row r="23" spans="1:131" ht="15.75" x14ac:dyDescent="0.25">
      <c r="A23" s="250" t="s">
        <v>609</v>
      </c>
      <c r="B23" s="251">
        <v>1.19</v>
      </c>
      <c r="C23" s="251">
        <v>0.94499999999999995</v>
      </c>
      <c r="D23" s="251">
        <v>0.42</v>
      </c>
      <c r="E23" s="251">
        <v>0.28299999999999997</v>
      </c>
      <c r="F23" s="257">
        <v>1</v>
      </c>
      <c r="G23" s="253">
        <f>((PI()*D23*E23/4)*(B23^2-C23^2))*F23</f>
        <v>4.8830320073770625E-2</v>
      </c>
      <c r="H23" s="254">
        <f>(((G23/386.4)*(B23^2+C23^2))/8)</f>
        <v>3.6476226979925464E-5</v>
      </c>
      <c r="I23" s="255">
        <f>IF(I32=0,1,I32)</f>
        <v>1</v>
      </c>
      <c r="J23" s="256">
        <f>(H23/(I23^2))</f>
        <v>3.6476226979925464E-5</v>
      </c>
      <c r="L23" s="250" t="s">
        <v>609</v>
      </c>
      <c r="M23" s="251">
        <v>1.19</v>
      </c>
      <c r="N23" s="251">
        <v>0.625</v>
      </c>
      <c r="O23" s="251">
        <v>0.42</v>
      </c>
      <c r="P23" s="251">
        <v>0.28299999999999997</v>
      </c>
      <c r="Q23" s="257">
        <v>1</v>
      </c>
      <c r="R23" s="253">
        <f>((PI()*P23*O23/4)*(M23^2-N23^2))*Q23</f>
        <v>9.5730578746164377E-2</v>
      </c>
      <c r="S23" s="254">
        <f>(((R23/386.4)*(M23^2+N23^2))/8)</f>
        <v>5.5952002421442755E-5</v>
      </c>
      <c r="T23" s="255">
        <f>IF(T32=0,1,T32)</f>
        <v>1</v>
      </c>
      <c r="U23" s="256">
        <f>(S23/(T23^2))</f>
        <v>5.5952002421442755E-5</v>
      </c>
      <c r="W23" s="250" t="s">
        <v>610</v>
      </c>
      <c r="X23" s="251">
        <v>1.19</v>
      </c>
      <c r="Y23" s="251">
        <v>0.875</v>
      </c>
      <c r="Z23" s="251">
        <v>0.42</v>
      </c>
      <c r="AA23" s="251">
        <v>0.28299999999999997</v>
      </c>
      <c r="AB23" s="257">
        <v>1</v>
      </c>
      <c r="AC23" s="253">
        <f>((PI()*Z23*AA23/4)*(X23^2-Y23^2))*AB23</f>
        <v>6.0723419108131615E-2</v>
      </c>
      <c r="AD23" s="254">
        <f>(((AC23/386.4)*(X23^2+Y23^2))/8)</f>
        <v>4.2857725657896118E-5</v>
      </c>
      <c r="AE23" s="255">
        <f>IF(AE32=0,1,AE32)</f>
        <v>1</v>
      </c>
      <c r="AF23" s="256">
        <f>(AD23/(AE23^2))</f>
        <v>4.2857725657896118E-5</v>
      </c>
      <c r="AH23" s="250" t="s">
        <v>610</v>
      </c>
      <c r="AI23" s="251">
        <v>1.19</v>
      </c>
      <c r="AJ23" s="251">
        <v>0.875</v>
      </c>
      <c r="AK23" s="251">
        <v>0.42</v>
      </c>
      <c r="AL23" s="251">
        <v>0.28299999999999997</v>
      </c>
      <c r="AM23" s="257">
        <v>1</v>
      </c>
      <c r="AN23" s="253">
        <f>((PI()*AK23*AL23/4)*(AI23^2-AJ23^2))*AM23</f>
        <v>6.0723419108131615E-2</v>
      </c>
      <c r="AO23" s="254">
        <f>(((AN23/386.4)*(AI23^2+AJ23^2))/8)</f>
        <v>4.2857725657896118E-5</v>
      </c>
      <c r="AP23" s="255">
        <f>IF(AP32=0,1,AP32)</f>
        <v>1</v>
      </c>
      <c r="AQ23" s="256">
        <f>(AO23/(AP23^2))</f>
        <v>4.2857725657896118E-5</v>
      </c>
      <c r="AS23" s="250"/>
      <c r="AT23" s="251"/>
      <c r="AU23" s="251"/>
      <c r="AV23" s="251"/>
      <c r="AW23" s="251"/>
      <c r="AX23" s="245"/>
      <c r="AY23" s="253"/>
      <c r="AZ23" s="254"/>
      <c r="BA23" s="251"/>
      <c r="BB23" s="256"/>
      <c r="BD23" s="250"/>
      <c r="BE23" s="251"/>
      <c r="BF23" s="251"/>
      <c r="BG23" s="251"/>
      <c r="BH23" s="251"/>
      <c r="BI23" s="245"/>
      <c r="BJ23" s="253"/>
      <c r="BK23" s="254"/>
      <c r="BL23" s="251"/>
      <c r="BM23" s="245"/>
      <c r="BO23" s="250"/>
      <c r="BP23" s="251"/>
      <c r="BQ23" s="251"/>
      <c r="BS23" s="251"/>
      <c r="BT23" s="245"/>
      <c r="BU23" s="253"/>
      <c r="BV23" s="254"/>
      <c r="BW23" s="245"/>
      <c r="BX23" s="245"/>
      <c r="BZ23" s="250"/>
      <c r="CA23" s="251"/>
      <c r="CB23" s="251"/>
      <c r="CC23" s="251"/>
      <c r="CD23" s="251"/>
      <c r="CE23" s="245"/>
      <c r="CF23" s="253"/>
      <c r="CG23" s="254"/>
      <c r="CH23" s="245"/>
      <c r="CI23" s="245"/>
      <c r="CK23" s="250"/>
      <c r="CL23" s="251"/>
      <c r="CM23" s="251"/>
      <c r="CN23" s="251"/>
      <c r="CO23" s="251"/>
      <c r="CP23" s="257"/>
      <c r="CQ23" s="344"/>
      <c r="CR23" s="254"/>
      <c r="CS23" s="255"/>
      <c r="CT23" s="256"/>
      <c r="CV23" s="345" t="s">
        <v>805</v>
      </c>
      <c r="CW23" s="257">
        <v>4</v>
      </c>
      <c r="CX23" s="339">
        <v>2.25</v>
      </c>
      <c r="CY23" s="339">
        <v>2.5</v>
      </c>
      <c r="CZ23" s="257">
        <v>0.28299999999999997</v>
      </c>
      <c r="DA23" s="257">
        <v>1</v>
      </c>
      <c r="DB23" s="340">
        <f>((PI()*CY23*CZ23/4)*(CW23^2-CX23^2))*DA23</f>
        <v>6.07763188160291</v>
      </c>
      <c r="DC23" s="254">
        <f>(((DB23/386.4)*(CW23^2+CX23^2))/8)</f>
        <v>4.1411141791621794E-2</v>
      </c>
      <c r="DD23" s="255">
        <f ca="1">Ratio</f>
        <v>11.111000000000001</v>
      </c>
      <c r="DE23" s="256">
        <f ca="1">(DC23/(DD23^2))</f>
        <v>3.3543695721773714E-4</v>
      </c>
      <c r="DG23" s="250" t="s">
        <v>587</v>
      </c>
      <c r="DH23" s="339">
        <v>10.53</v>
      </c>
      <c r="DI23" s="339">
        <v>6</v>
      </c>
      <c r="DJ23" s="339">
        <v>2</v>
      </c>
      <c r="DK23" s="254">
        <v>0.28299999999999997</v>
      </c>
      <c r="DL23" s="257">
        <v>1</v>
      </c>
      <c r="DM23" s="340">
        <f>((PI()*DJ23*DK23/4)*(DH23^2-DI23^2))*DL23</f>
        <v>33.287207874788145</v>
      </c>
      <c r="DN23" s="254">
        <f>(((DM23/386.4)*(DH23^2+DI23^2))/8)</f>
        <v>1.5816689477018537</v>
      </c>
      <c r="DO23" s="255">
        <f ca="1">Ratio</f>
        <v>11.111000000000001</v>
      </c>
      <c r="DP23" s="256">
        <f ca="1">(DN23/(DO23^2))</f>
        <v>1.2811774710598047E-2</v>
      </c>
      <c r="DR23" s="250"/>
      <c r="DS23" s="258"/>
      <c r="DT23" s="258"/>
      <c r="DU23" s="258"/>
      <c r="DV23" s="245"/>
      <c r="DW23" s="245"/>
      <c r="DX23" s="340"/>
      <c r="DY23" s="254"/>
      <c r="DZ23" s="341"/>
      <c r="EA23" s="256"/>
    </row>
    <row r="24" spans="1:131" ht="15.75" x14ac:dyDescent="0.25">
      <c r="A24" s="250"/>
      <c r="B24" s="251"/>
      <c r="C24" s="251"/>
      <c r="D24" s="251"/>
      <c r="E24" s="251"/>
      <c r="F24" s="245"/>
      <c r="G24" s="253"/>
      <c r="H24" s="254"/>
      <c r="I24" s="245"/>
      <c r="J24" s="245"/>
      <c r="L24" s="250"/>
      <c r="M24" s="251"/>
      <c r="N24" s="251"/>
      <c r="O24" s="251"/>
      <c r="P24" s="251"/>
      <c r="Q24" s="245"/>
      <c r="R24" s="253"/>
      <c r="S24" s="254"/>
      <c r="T24" s="245"/>
      <c r="U24" s="245"/>
      <c r="W24" s="250"/>
      <c r="X24" s="251"/>
      <c r="Y24" s="251"/>
      <c r="Z24" s="251"/>
      <c r="AA24" s="251"/>
      <c r="AB24" s="245"/>
      <c r="AC24" s="253"/>
      <c r="AD24" s="254"/>
      <c r="AE24" s="245"/>
      <c r="AF24" s="245"/>
      <c r="AH24" s="250"/>
      <c r="AI24" s="251"/>
      <c r="AJ24" s="251"/>
      <c r="AK24" s="251"/>
      <c r="AL24" s="251"/>
      <c r="AM24" s="245"/>
      <c r="AN24" s="253"/>
      <c r="AO24" s="254"/>
      <c r="AP24" s="245"/>
      <c r="AQ24" s="245"/>
      <c r="AS24" s="250" t="s">
        <v>605</v>
      </c>
      <c r="AT24" s="251">
        <v>3.15</v>
      </c>
      <c r="AU24" s="251">
        <v>1.57</v>
      </c>
      <c r="AV24" s="251">
        <v>0.35</v>
      </c>
      <c r="AW24" s="251">
        <v>0.28299999999999997</v>
      </c>
      <c r="AX24" s="257">
        <v>1</v>
      </c>
      <c r="AY24" s="253">
        <f>((PI()*AV24*AW24/4)*(AT24^2-AU24^2))*AX24</f>
        <v>0.58015420825909569</v>
      </c>
      <c r="AZ24" s="254">
        <f>(((AY24/386.4)*(AT24^2+AU24^2))/8)</f>
        <v>2.3248583848954197E-3</v>
      </c>
      <c r="BA24" s="251">
        <f>IF(BA34=0,1,BA34)</f>
        <v>1</v>
      </c>
      <c r="BB24" s="256">
        <f>(AZ24/(BA24^2))</f>
        <v>2.3248583848954197E-3</v>
      </c>
      <c r="BD24" s="250" t="s">
        <v>605</v>
      </c>
      <c r="BE24" s="251">
        <v>3.15</v>
      </c>
      <c r="BF24" s="251">
        <v>1.57</v>
      </c>
      <c r="BG24" s="251">
        <v>0.35</v>
      </c>
      <c r="BH24" s="251">
        <v>0.28299999999999997</v>
      </c>
      <c r="BI24" s="257">
        <v>1</v>
      </c>
      <c r="BJ24" s="253">
        <f>((PI()*BG24*BH24/4)*(BE24^2-BF24^2))*BI24</f>
        <v>0.58015420825909569</v>
      </c>
      <c r="BK24" s="254">
        <f>(((BJ24/386.4)*(BE24^2+BF24^2))/8)</f>
        <v>2.3248583848954197E-3</v>
      </c>
      <c r="BL24" s="251">
        <f>IF(BL34=0,1,BL34)</f>
        <v>1</v>
      </c>
      <c r="BM24" s="256">
        <f>(BK24/(BL24^2))</f>
        <v>2.3248583848954197E-3</v>
      </c>
      <c r="BO24" s="250" t="s">
        <v>605</v>
      </c>
      <c r="BP24" s="251">
        <v>3.4</v>
      </c>
      <c r="BQ24" s="251">
        <v>2.75</v>
      </c>
      <c r="BR24" s="251">
        <v>1.22</v>
      </c>
      <c r="BS24" s="251">
        <v>0.28299999999999997</v>
      </c>
      <c r="BT24" s="257">
        <v>1</v>
      </c>
      <c r="BU24" s="253">
        <f>((PI()*BR24*BS24/4)*(BP24^2-BQ24^2))*BT24</f>
        <v>1.0839883631536751</v>
      </c>
      <c r="BV24" s="254">
        <f>(((BU24/386.4)*(BP24^2+BQ24^2))/8)</f>
        <v>6.7056701198260063E-3</v>
      </c>
      <c r="BW24" s="255">
        <f>IF(BW34=0,1,BW34)</f>
        <v>1</v>
      </c>
      <c r="BX24" s="256">
        <f>(BV24/(BW24^2))</f>
        <v>6.7056701198260063E-3</v>
      </c>
      <c r="BZ24" s="250" t="s">
        <v>605</v>
      </c>
      <c r="CA24" s="251">
        <v>3.4</v>
      </c>
      <c r="CB24" s="251">
        <v>2.75</v>
      </c>
      <c r="CC24" s="251">
        <v>1.22</v>
      </c>
      <c r="CD24" s="251">
        <v>0.28299999999999997</v>
      </c>
      <c r="CE24" s="257">
        <v>1</v>
      </c>
      <c r="CF24" s="253">
        <f>((PI()*CC24*CD24/4)*(CA24^2-CB24^2))*CE24</f>
        <v>1.0839883631536751</v>
      </c>
      <c r="CG24" s="254">
        <f>(((CF24/386.4)*(CA24^2+CB24^2))/8)</f>
        <v>6.7056701198260063E-3</v>
      </c>
      <c r="CH24" s="255">
        <f>IF(CH34=0,1,CH34)</f>
        <v>1</v>
      </c>
      <c r="CI24" s="256">
        <f>(CG24/(CH24^2))</f>
        <v>6.7056701198260063E-3</v>
      </c>
      <c r="CK24" s="250" t="s">
        <v>611</v>
      </c>
      <c r="CL24" s="251">
        <v>6</v>
      </c>
      <c r="CM24" s="251">
        <v>1.5</v>
      </c>
      <c r="CN24" s="251">
        <v>0.75</v>
      </c>
      <c r="CO24" s="251">
        <v>0.28299999999999997</v>
      </c>
      <c r="CP24" s="257">
        <v>1</v>
      </c>
      <c r="CQ24" s="253">
        <f>((PI()*CN24*CO24/4)*(CL24^2-CM24^2))*CP24</f>
        <v>5.6261506561124079</v>
      </c>
      <c r="CR24" s="254">
        <f>(((CQ24/386.4)*(CL24^2+CM24^2))/8)</f>
        <v>6.9617062175303973E-2</v>
      </c>
      <c r="CS24" s="255">
        <f ca="1">Ratio</f>
        <v>11.111000000000001</v>
      </c>
      <c r="CT24" s="256">
        <f ca="1">(CR24/(CS24^2))</f>
        <v>5.6390948175320625E-4</v>
      </c>
      <c r="CV24" s="250" t="s">
        <v>808</v>
      </c>
      <c r="CW24" s="257"/>
      <c r="CX24" s="339"/>
      <c r="CY24" s="339"/>
      <c r="CZ24" s="257"/>
      <c r="DA24" s="257"/>
      <c r="DB24" s="340"/>
      <c r="DC24" s="254"/>
      <c r="DD24" s="255"/>
      <c r="DE24" s="256"/>
      <c r="DG24" s="345" t="s">
        <v>805</v>
      </c>
      <c r="DH24" s="339">
        <v>6</v>
      </c>
      <c r="DI24" s="339">
        <v>3.5</v>
      </c>
      <c r="DJ24" s="339">
        <v>2</v>
      </c>
      <c r="DK24" s="254">
        <v>0.28299999999999997</v>
      </c>
      <c r="DL24" s="257">
        <v>1</v>
      </c>
      <c r="DM24" s="340">
        <f>((PI()*DJ24*DK24/4)*(DH24^2-DI24^2))*DL24</f>
        <v>10.557714811470197</v>
      </c>
      <c r="DN24" s="254">
        <f>(((DM24/386.4)*(DH24^2+DI24^2))/8)</f>
        <v>0.16479352343861187</v>
      </c>
      <c r="DO24" s="255">
        <f ca="1">Ratio</f>
        <v>11.111000000000001</v>
      </c>
      <c r="DP24" s="256">
        <f ca="1">(DN24/(DO24^2))</f>
        <v>1.3348542368040066E-3</v>
      </c>
      <c r="DR24" s="250" t="s">
        <v>587</v>
      </c>
      <c r="DS24" s="341">
        <v>14.04</v>
      </c>
      <c r="DT24" s="341">
        <v>6</v>
      </c>
      <c r="DU24" s="258">
        <v>2</v>
      </c>
      <c r="DV24" s="251">
        <v>0.28299999999999997</v>
      </c>
      <c r="DW24" s="257">
        <v>1</v>
      </c>
      <c r="DX24" s="340">
        <f>((PI()*DU24*DV24/4)*(DS24^2-DT24^2))*DW24</f>
        <v>71.624248537590574</v>
      </c>
      <c r="DY24" s="254">
        <f>(((DX24/386.4)*(DS24^2+DT24^2))/8)</f>
        <v>5.4015137868403125</v>
      </c>
      <c r="DZ24" s="341">
        <f ca="1">Ratio</f>
        <v>11.111000000000001</v>
      </c>
      <c r="EA24" s="256">
        <f ca="1">(DY24/(DZ24^2))</f>
        <v>4.3753136731765847E-2</v>
      </c>
    </row>
    <row r="25" spans="1:131" ht="15.75" x14ac:dyDescent="0.25">
      <c r="A25" s="250"/>
      <c r="B25" s="251"/>
      <c r="C25" s="251"/>
      <c r="D25" s="251"/>
      <c r="E25" s="251"/>
      <c r="F25" s="245"/>
      <c r="G25" s="253"/>
      <c r="H25" s="254"/>
      <c r="I25" s="255"/>
      <c r="J25" s="256"/>
      <c r="L25" s="250"/>
      <c r="M25" s="251"/>
      <c r="N25" s="251"/>
      <c r="O25" s="251"/>
      <c r="P25" s="251"/>
      <c r="Q25" s="245"/>
      <c r="R25" s="253"/>
      <c r="S25" s="254"/>
      <c r="T25" s="255"/>
      <c r="U25" s="256"/>
      <c r="W25" s="250"/>
      <c r="X25" s="251"/>
      <c r="Y25" s="251"/>
      <c r="Z25" s="251"/>
      <c r="AA25" s="251"/>
      <c r="AB25" s="245"/>
      <c r="AC25" s="253"/>
      <c r="AD25" s="254"/>
      <c r="AE25" s="255"/>
      <c r="AF25" s="256"/>
      <c r="AH25" s="250"/>
      <c r="AI25" s="251"/>
      <c r="AJ25" s="251"/>
      <c r="AK25" s="251"/>
      <c r="AL25" s="251"/>
      <c r="AM25" s="245"/>
      <c r="AN25" s="253"/>
      <c r="AO25" s="254"/>
      <c r="AP25" s="255"/>
      <c r="AQ25" s="256"/>
      <c r="AS25" s="250" t="s">
        <v>612</v>
      </c>
      <c r="AT25" s="251">
        <v>3.15</v>
      </c>
      <c r="AU25" s="251">
        <v>1.625</v>
      </c>
      <c r="AV25" s="251">
        <v>0.87</v>
      </c>
      <c r="AW25" s="251">
        <v>0.28299999999999997</v>
      </c>
      <c r="AX25" s="257">
        <v>1</v>
      </c>
      <c r="AY25" s="253">
        <f>((PI()*AV25*AW25/4)*(AT25^2-AU25^2))*AX25</f>
        <v>1.4081171537308179</v>
      </c>
      <c r="AZ25" s="254">
        <f>(((AY25/386.4)*(AT25^2+AU25^2))/8)</f>
        <v>5.7228104997944108E-3</v>
      </c>
      <c r="BA25" s="251">
        <f>IF(BA35=0,1,BA35)</f>
        <v>1</v>
      </c>
      <c r="BB25" s="256">
        <f>(AZ25/(BA25^2))</f>
        <v>5.7228104997944108E-3</v>
      </c>
      <c r="BD25" s="250" t="s">
        <v>612</v>
      </c>
      <c r="BE25" s="251">
        <v>3.15</v>
      </c>
      <c r="BF25" s="251">
        <v>1.625</v>
      </c>
      <c r="BG25" s="251">
        <v>0.87</v>
      </c>
      <c r="BH25" s="251">
        <v>0.28299999999999997</v>
      </c>
      <c r="BI25" s="257">
        <v>1</v>
      </c>
      <c r="BJ25" s="253">
        <f>((PI()*BG25*BH25/4)*(BE25^2-BF25^2))*BI25</f>
        <v>1.4081171537308179</v>
      </c>
      <c r="BK25" s="254">
        <f>(((BJ25/386.4)*(BE25^2+BF25^2))/8)</f>
        <v>5.7228104997944108E-3</v>
      </c>
      <c r="BL25" s="251">
        <f>IF(BL35=0,1,BL35)</f>
        <v>1</v>
      </c>
      <c r="BM25" s="256">
        <f>(BK25/(BL25^2))</f>
        <v>5.7228104997944108E-3</v>
      </c>
      <c r="BO25" s="250" t="s">
        <v>613</v>
      </c>
      <c r="BP25" s="251">
        <v>2.75</v>
      </c>
      <c r="BQ25" s="251">
        <v>1.871</v>
      </c>
      <c r="BR25" s="251">
        <v>0.68</v>
      </c>
      <c r="BS25" s="251">
        <v>0.28299999999999997</v>
      </c>
      <c r="BT25" s="257">
        <v>1</v>
      </c>
      <c r="BU25" s="253">
        <f>((PI()*BR25*BS25/4)*(BP25^2-BQ25^2))*BT25</f>
        <v>0.61391758463061896</v>
      </c>
      <c r="BV25" s="254">
        <f>(((BU25/386.4)*(BP25^2+BQ25^2))/8)</f>
        <v>2.1971586442637069E-3</v>
      </c>
      <c r="BW25" s="255">
        <f>IF(BW35=0,1,BW35)</f>
        <v>1</v>
      </c>
      <c r="BX25" s="256">
        <f>(BV25/(BW25^2))</f>
        <v>2.1971586442637069E-3</v>
      </c>
      <c r="BZ25" s="250" t="s">
        <v>613</v>
      </c>
      <c r="CA25" s="251">
        <v>2.75</v>
      </c>
      <c r="CB25" s="251">
        <v>1.871</v>
      </c>
      <c r="CC25" s="251">
        <v>0.68</v>
      </c>
      <c r="CD25" s="251">
        <v>0.28299999999999997</v>
      </c>
      <c r="CE25" s="257">
        <v>1</v>
      </c>
      <c r="CF25" s="253">
        <f>((PI()*CC25*CD25/4)*(CA25^2-CB25^2))*CE25</f>
        <v>0.61391758463061896</v>
      </c>
      <c r="CG25" s="254">
        <f>(((CF25/386.4)*(CA25^2+CB25^2))/8)</f>
        <v>2.1971586442637069E-3</v>
      </c>
      <c r="CH25" s="255">
        <f>IF(CH35=0,1,CH35)</f>
        <v>1</v>
      </c>
      <c r="CI25" s="256">
        <f>(CG25/(CH25^2))</f>
        <v>2.1971586442637069E-3</v>
      </c>
      <c r="CK25" s="250" t="s">
        <v>614</v>
      </c>
      <c r="CL25" s="251">
        <v>3.8340000000000001</v>
      </c>
      <c r="CM25" s="251">
        <v>1.5</v>
      </c>
      <c r="CN25" s="251">
        <v>1.875</v>
      </c>
      <c r="CO25" s="251">
        <v>0.28299999999999997</v>
      </c>
      <c r="CP25" s="257">
        <v>1</v>
      </c>
      <c r="CQ25" s="253">
        <f>((PI()*CN25*CO25/4)*(CL25^2-CM25^2))*CP25</f>
        <v>5.1883761227931977</v>
      </c>
      <c r="CR25" s="254">
        <f>(((CQ25/386.4)*(CL25^2+CM25^2))/8)</f>
        <v>2.8448716240407027E-2</v>
      </c>
      <c r="CS25" s="255">
        <f ca="1">Ratio</f>
        <v>11.111000000000001</v>
      </c>
      <c r="CT25" s="256">
        <f ca="1">(CR25/(CS25^2))</f>
        <v>2.3043921030845913E-4</v>
      </c>
      <c r="CV25" s="345"/>
      <c r="CW25" s="257"/>
      <c r="CX25" s="339"/>
      <c r="CY25" s="339"/>
      <c r="CZ25" s="257"/>
      <c r="DA25" s="257"/>
      <c r="DB25" s="340"/>
      <c r="DC25" s="254"/>
      <c r="DD25" s="255"/>
      <c r="DE25" s="256"/>
      <c r="DG25" s="250" t="s">
        <v>807</v>
      </c>
      <c r="DH25" s="339"/>
      <c r="DI25" s="339"/>
      <c r="DJ25" s="339"/>
      <c r="DK25" s="254"/>
      <c r="DL25" s="257"/>
      <c r="DM25" s="340"/>
      <c r="DN25" s="254"/>
      <c r="DO25" s="255"/>
      <c r="DP25" s="256"/>
      <c r="DR25" s="345" t="s">
        <v>805</v>
      </c>
      <c r="DS25" s="258">
        <v>6</v>
      </c>
      <c r="DT25" s="258">
        <v>3.5</v>
      </c>
      <c r="DU25" s="258">
        <v>2</v>
      </c>
      <c r="DV25" s="251">
        <v>0.28299999999999997</v>
      </c>
      <c r="DW25" s="257">
        <v>1</v>
      </c>
      <c r="DX25" s="340">
        <f>((PI()*DU25*DV25/4)*(DS25^2-DT25^2))*DW25</f>
        <v>10.557714811470197</v>
      </c>
      <c r="DY25" s="254">
        <f>(((DX25/386.4)*(DS25^2+DT25^2))/8)</f>
        <v>0.16479352343861187</v>
      </c>
      <c r="DZ25" s="341">
        <f ca="1">Ratio</f>
        <v>11.111000000000001</v>
      </c>
      <c r="EA25" s="256">
        <f ca="1">(DY25/(DZ25^2))</f>
        <v>1.3348542368040066E-3</v>
      </c>
    </row>
    <row r="26" spans="1:131" ht="15.75" x14ac:dyDescent="0.25">
      <c r="A26" s="248"/>
      <c r="B26" s="258"/>
      <c r="C26" s="258"/>
      <c r="D26" s="258"/>
      <c r="E26" s="258"/>
      <c r="F26" s="258"/>
      <c r="G26" s="258"/>
      <c r="H26" s="258"/>
      <c r="I26" s="258"/>
      <c r="J26" s="258"/>
      <c r="L26" s="248"/>
      <c r="M26" s="258"/>
      <c r="N26" s="258"/>
      <c r="O26" s="258"/>
      <c r="P26" s="258"/>
      <c r="Q26" s="258"/>
      <c r="R26" s="258"/>
      <c r="S26" s="258"/>
      <c r="T26" s="258"/>
      <c r="U26" s="258"/>
      <c r="W26" s="248"/>
      <c r="X26" s="258"/>
      <c r="Y26" s="258"/>
      <c r="Z26" s="258"/>
      <c r="AA26" s="258"/>
      <c r="AB26" s="258"/>
      <c r="AC26" s="258"/>
      <c r="AD26" s="258"/>
      <c r="AE26" s="258"/>
      <c r="AF26" s="258"/>
      <c r="AH26" s="248"/>
      <c r="AI26" s="258"/>
      <c r="AJ26" s="258"/>
      <c r="AK26" s="258"/>
      <c r="AL26" s="258"/>
      <c r="AM26" s="258"/>
      <c r="AN26" s="258"/>
      <c r="AO26" s="258"/>
      <c r="AP26" s="258"/>
      <c r="AQ26" s="258"/>
      <c r="AS26" s="250"/>
      <c r="AT26" s="251"/>
      <c r="AU26" s="251"/>
      <c r="AV26" s="251"/>
      <c r="AW26" s="251"/>
      <c r="AX26" s="245"/>
      <c r="AY26" s="253"/>
      <c r="AZ26" s="254"/>
      <c r="BA26" s="251"/>
      <c r="BB26" s="256"/>
      <c r="BD26" s="250"/>
      <c r="BE26" s="251"/>
      <c r="BF26" s="251"/>
      <c r="BG26" s="251"/>
      <c r="BH26" s="251"/>
      <c r="BI26" s="245"/>
      <c r="BJ26" s="253"/>
      <c r="BK26" s="254"/>
      <c r="BL26" s="251"/>
      <c r="BM26" s="245"/>
      <c r="BO26" s="250"/>
      <c r="BP26" s="251"/>
      <c r="BQ26" s="251"/>
      <c r="BR26" s="251"/>
      <c r="BS26" s="251"/>
      <c r="BT26" s="245"/>
      <c r="BU26" s="253"/>
      <c r="BV26" s="254"/>
      <c r="BW26" s="245"/>
      <c r="BX26" s="245"/>
      <c r="BZ26" s="250"/>
      <c r="CA26" s="251"/>
      <c r="CB26" s="251"/>
      <c r="CC26" s="251"/>
      <c r="CD26" s="251"/>
      <c r="CE26" s="245"/>
      <c r="CF26" s="253"/>
      <c r="CG26" s="254"/>
      <c r="CH26" s="245"/>
      <c r="CI26" s="245"/>
      <c r="CK26" s="250"/>
      <c r="CL26" s="251"/>
      <c r="CM26" s="251"/>
      <c r="CN26" s="251"/>
      <c r="CO26" s="251"/>
      <c r="CP26" s="245"/>
      <c r="CQ26" s="253"/>
      <c r="CR26" s="254"/>
      <c r="CS26" s="245"/>
      <c r="CT26" s="245"/>
      <c r="CV26" s="345"/>
      <c r="CW26" s="245"/>
      <c r="CX26" s="339"/>
      <c r="CY26" s="339"/>
      <c r="CZ26" s="245"/>
      <c r="DA26" s="245"/>
      <c r="DB26" s="340"/>
      <c r="DC26" s="254"/>
      <c r="DD26" s="255"/>
      <c r="DE26" s="256"/>
      <c r="DG26" s="345"/>
      <c r="DH26" s="339"/>
      <c r="DI26" s="339"/>
      <c r="DJ26" s="339"/>
      <c r="DK26" s="254"/>
      <c r="DL26" s="257"/>
      <c r="DM26" s="340"/>
      <c r="DN26" s="254"/>
      <c r="DO26" s="255"/>
      <c r="DP26" s="256"/>
      <c r="DR26" s="250" t="s">
        <v>806</v>
      </c>
      <c r="DS26" s="258"/>
      <c r="DT26" s="258"/>
      <c r="DU26" s="258"/>
      <c r="DV26" s="251"/>
      <c r="DW26" s="257"/>
      <c r="DX26" s="340"/>
      <c r="DY26" s="254"/>
      <c r="DZ26" s="341"/>
      <c r="EA26" s="256"/>
    </row>
    <row r="27" spans="1:131" ht="15.75" x14ac:dyDescent="0.25">
      <c r="A27" s="248"/>
      <c r="B27" s="258"/>
      <c r="C27" s="258"/>
      <c r="D27" s="258"/>
      <c r="E27" s="258"/>
      <c r="F27" s="258"/>
      <c r="G27" s="258"/>
      <c r="H27" s="258"/>
      <c r="I27" s="258"/>
      <c r="J27" s="258"/>
      <c r="L27" s="248"/>
      <c r="M27" s="258"/>
      <c r="N27" s="258"/>
      <c r="O27" s="258"/>
      <c r="P27" s="258"/>
      <c r="Q27" s="258"/>
      <c r="R27" s="258"/>
      <c r="S27" s="258"/>
      <c r="T27" s="258"/>
      <c r="U27" s="258"/>
      <c r="W27" s="248"/>
      <c r="X27" s="258"/>
      <c r="Y27" s="258"/>
      <c r="Z27" s="258"/>
      <c r="AA27" s="258"/>
      <c r="AB27" s="258"/>
      <c r="AC27" s="258"/>
      <c r="AD27" s="258"/>
      <c r="AE27" s="258"/>
      <c r="AF27" s="258"/>
      <c r="AH27" s="248"/>
      <c r="AI27" s="258"/>
      <c r="AJ27" s="258"/>
      <c r="AK27" s="258"/>
      <c r="AL27" s="258"/>
      <c r="AM27" s="258"/>
      <c r="AN27" s="258"/>
      <c r="AO27" s="258"/>
      <c r="AP27" s="258"/>
      <c r="AQ27" s="258"/>
      <c r="AS27" s="250" t="s">
        <v>597</v>
      </c>
      <c r="AT27" s="251">
        <v>2.5</v>
      </c>
      <c r="AU27" s="251">
        <v>0.94399999999999995</v>
      </c>
      <c r="AV27" s="251">
        <v>0.25</v>
      </c>
      <c r="AW27" s="251">
        <v>0.28299999999999997</v>
      </c>
      <c r="AX27" s="257">
        <v>1</v>
      </c>
      <c r="AY27" s="253">
        <f>((PI()*AV27*AW27/4)*(AT27^2-AU27^2))*AX27</f>
        <v>0.29777556750239176</v>
      </c>
      <c r="AZ27" s="254">
        <f>(((AY27/386.4)*(AT27^2+AU27^2))/8)</f>
        <v>6.8790625809127845E-4</v>
      </c>
      <c r="BA27" s="251">
        <f>IF(BA34=0,1,BA34)</f>
        <v>1</v>
      </c>
      <c r="BB27" s="256">
        <f>(AZ27/(BA27^2))</f>
        <v>6.8790625809127845E-4</v>
      </c>
      <c r="BD27" s="250" t="s">
        <v>597</v>
      </c>
      <c r="BE27" s="251">
        <v>2.5</v>
      </c>
      <c r="BF27" s="251">
        <v>0.94399999999999995</v>
      </c>
      <c r="BG27" s="251">
        <v>0.25</v>
      </c>
      <c r="BH27" s="251">
        <v>0.28299999999999997</v>
      </c>
      <c r="BI27" s="257">
        <v>1</v>
      </c>
      <c r="BJ27" s="253">
        <f>((PI()*BG27*BH27/4)*(BE27^2-BF27^2))*BI27</f>
        <v>0.29777556750239176</v>
      </c>
      <c r="BK27" s="254">
        <f>(((BJ27/386.4)*(BE27^2+BF27^2))/8)</f>
        <v>6.8790625809127845E-4</v>
      </c>
      <c r="BL27" s="251">
        <f>IF(BL34=0,1,BL34)</f>
        <v>1</v>
      </c>
      <c r="BM27" s="256">
        <f>(BK27/(BL27^2))</f>
        <v>6.8790625809127845E-4</v>
      </c>
      <c r="BO27" s="250" t="s">
        <v>597</v>
      </c>
      <c r="BP27" s="251">
        <v>2.6869999999999998</v>
      </c>
      <c r="BQ27" s="251">
        <v>1.6539999999999999</v>
      </c>
      <c r="BR27" s="251">
        <v>0.375</v>
      </c>
      <c r="BS27" s="251">
        <v>0.28299999999999997</v>
      </c>
      <c r="BT27" s="257">
        <v>1</v>
      </c>
      <c r="BU27" s="253">
        <f>((PI()*BR27*BS27/4)*(BP27^2-BQ27^2))*BT27</f>
        <v>0.37376419197220784</v>
      </c>
      <c r="BV27" s="254">
        <f>(((BU27/386.4)*(BP27^2+BQ27^2))/8)</f>
        <v>1.2037650619677893E-3</v>
      </c>
      <c r="BW27" s="255">
        <f>IF(BW34=0,1,BW34)</f>
        <v>1</v>
      </c>
      <c r="BX27" s="256">
        <f>(BV27/(BW27^2))</f>
        <v>1.2037650619677893E-3</v>
      </c>
      <c r="BZ27" s="250" t="s">
        <v>597</v>
      </c>
      <c r="CA27" s="251">
        <v>2.6869999999999998</v>
      </c>
      <c r="CB27" s="251">
        <v>1.6539999999999999</v>
      </c>
      <c r="CC27" s="251">
        <v>0.375</v>
      </c>
      <c r="CD27" s="251">
        <v>0.28299999999999997</v>
      </c>
      <c r="CE27" s="257">
        <v>1</v>
      </c>
      <c r="CF27" s="253">
        <f>((PI()*CC27*CD27/4)*(CA27^2-CB27^2))*CE27</f>
        <v>0.37376419197220784</v>
      </c>
      <c r="CG27" s="254">
        <f>(((CF27/386.4)*(CA27^2+CB27^2))/8)</f>
        <v>1.2037650619677893E-3</v>
      </c>
      <c r="CH27" s="255">
        <f>IF(CH34=0,1,CH34)</f>
        <v>1</v>
      </c>
      <c r="CI27" s="256">
        <f>(CG27/(CH27^2))</f>
        <v>1.2037650619677893E-3</v>
      </c>
      <c r="CK27" s="250" t="s">
        <v>615</v>
      </c>
      <c r="CL27" s="251">
        <v>2.375</v>
      </c>
      <c r="CM27" s="251">
        <v>0.54900000000000004</v>
      </c>
      <c r="CN27" s="251">
        <v>2.375</v>
      </c>
      <c r="CO27" s="251">
        <v>0.28299999999999997</v>
      </c>
      <c r="CP27" s="257">
        <v>1</v>
      </c>
      <c r="CQ27" s="253">
        <f>((PI()*CN27*CO27/4)*(CL27^2-CM27^2))*CP27</f>
        <v>2.8185002153278575</v>
      </c>
      <c r="CR27" s="254">
        <f>(((CQ27/386.4)*(CL27^2+CM27^2))/8)</f>
        <v>5.4178317677548299E-3</v>
      </c>
      <c r="CS27" s="255">
        <f>IF(CS34=0,1,CS34)</f>
        <v>1</v>
      </c>
      <c r="CT27" s="256">
        <f>(CR27/(CS27^2))</f>
        <v>5.4178317677548299E-3</v>
      </c>
      <c r="CV27" s="250" t="s">
        <v>605</v>
      </c>
      <c r="CW27" s="255">
        <v>6.5</v>
      </c>
      <c r="CX27" s="339">
        <v>3</v>
      </c>
      <c r="CY27" s="339">
        <v>2</v>
      </c>
      <c r="CZ27" s="251">
        <v>0.28299999999999997</v>
      </c>
      <c r="DA27" s="257">
        <v>1</v>
      </c>
      <c r="DB27" s="340">
        <f>((PI()*CY27*CZ27/4)*(CW27^2-CX27^2))*DA27</f>
        <v>14.780800736058277</v>
      </c>
      <c r="DC27" s="254">
        <f>(((DB27/386.4)*(CW27^2+CX27^2))/8)</f>
        <v>0.24505565402529333</v>
      </c>
      <c r="DD27" s="255">
        <f>IF($DD$37=0,1,$DD$37)</f>
        <v>5</v>
      </c>
      <c r="DE27" s="256">
        <f>(DC27/(DD27^2))</f>
        <v>9.8022261610117341E-3</v>
      </c>
      <c r="DG27" s="345"/>
      <c r="DH27" s="339"/>
      <c r="DI27" s="339"/>
      <c r="DJ27" s="339"/>
      <c r="DK27" s="254"/>
      <c r="DL27" s="245"/>
      <c r="DM27" s="340"/>
      <c r="DN27" s="254"/>
      <c r="DO27" s="255"/>
      <c r="DP27" s="256"/>
      <c r="DR27" s="345"/>
      <c r="DS27" s="258"/>
      <c r="DT27" s="258"/>
      <c r="DU27" s="258"/>
      <c r="DV27" s="251"/>
      <c r="DW27" s="257"/>
      <c r="DX27" s="340"/>
      <c r="DY27" s="254"/>
      <c r="DZ27" s="341"/>
      <c r="EA27" s="256"/>
    </row>
    <row r="28" spans="1:131" ht="15.75" x14ac:dyDescent="0.25">
      <c r="A28" s="248"/>
      <c r="B28" s="245"/>
      <c r="C28" s="245"/>
      <c r="D28" s="245"/>
      <c r="E28" s="245"/>
      <c r="F28" s="245"/>
      <c r="G28" s="245"/>
      <c r="H28" s="245"/>
      <c r="I28" s="245"/>
      <c r="J28" s="245"/>
      <c r="L28" s="248"/>
      <c r="M28" s="245"/>
      <c r="N28" s="245"/>
      <c r="O28" s="245"/>
      <c r="P28" s="245"/>
      <c r="Q28" s="245"/>
      <c r="R28" s="245"/>
      <c r="S28" s="245"/>
      <c r="T28" s="245"/>
      <c r="U28" s="245"/>
      <c r="W28" s="248"/>
      <c r="X28" s="245"/>
      <c r="Y28" s="245"/>
      <c r="Z28" s="245"/>
      <c r="AA28" s="245"/>
      <c r="AB28" s="245"/>
      <c r="AC28" s="245"/>
      <c r="AD28" s="245"/>
      <c r="AE28" s="245"/>
      <c r="AF28" s="245"/>
      <c r="AH28" s="248"/>
      <c r="AI28" s="245"/>
      <c r="AJ28" s="245"/>
      <c r="AK28" s="245"/>
      <c r="AL28" s="245"/>
      <c r="AM28" s="245"/>
      <c r="AN28" s="245"/>
      <c r="AO28" s="245"/>
      <c r="AP28" s="245"/>
      <c r="AQ28" s="245"/>
      <c r="AS28" s="250" t="s">
        <v>616</v>
      </c>
      <c r="AT28" s="251">
        <v>1.625</v>
      </c>
      <c r="AU28" s="251">
        <v>0.94399999999999995</v>
      </c>
      <c r="AV28" s="251">
        <v>1</v>
      </c>
      <c r="AW28" s="251">
        <v>0.28299999999999997</v>
      </c>
      <c r="AX28" s="257">
        <v>1</v>
      </c>
      <c r="AY28" s="253">
        <f>((PI()*AV28*AW28/4)*(AT28^2-AU28^2))*AX28</f>
        <v>0.38885486163798283</v>
      </c>
      <c r="AZ28" s="254">
        <f>(((AY28/386.4)*(AT28^2+AU28^2))/8)</f>
        <v>4.4427485604083336E-4</v>
      </c>
      <c r="BA28" s="251">
        <f>IF(BA34=0,1,BA34)</f>
        <v>1</v>
      </c>
      <c r="BB28" s="256">
        <f>(AZ28/(BA28^2))</f>
        <v>4.4427485604083336E-4</v>
      </c>
      <c r="BD28" s="250" t="s">
        <v>616</v>
      </c>
      <c r="BE28" s="251">
        <v>1.625</v>
      </c>
      <c r="BF28" s="251">
        <v>0.94399999999999995</v>
      </c>
      <c r="BG28" s="251">
        <v>1</v>
      </c>
      <c r="BH28" s="251">
        <v>0.28299999999999997</v>
      </c>
      <c r="BI28" s="257">
        <v>1</v>
      </c>
      <c r="BJ28" s="253">
        <f>((PI()*BG28*BH28/4)*(BE28^2-BF28^2))*BI28</f>
        <v>0.38885486163798283</v>
      </c>
      <c r="BK28" s="254">
        <f>(((BJ28/386.4)*(BE28^2+BF28^2))/8)</f>
        <v>4.4427485604083336E-4</v>
      </c>
      <c r="BL28" s="251">
        <f>IF(BL34=0,1,BL34)</f>
        <v>1</v>
      </c>
      <c r="BM28" s="256">
        <f>(BK28/(BL28^2))</f>
        <v>4.4427485604083336E-4</v>
      </c>
      <c r="BO28" s="250" t="s">
        <v>617</v>
      </c>
      <c r="BP28" s="251">
        <v>1.871</v>
      </c>
      <c r="BQ28" s="251">
        <v>1.6539999999999999</v>
      </c>
      <c r="BR28" s="251">
        <v>0.875</v>
      </c>
      <c r="BS28" s="251">
        <v>0.28299999999999997</v>
      </c>
      <c r="BT28" s="257">
        <v>1</v>
      </c>
      <c r="BU28" s="253">
        <f>((PI()*BR28*BS28/4)*(BP28^2-BQ28^2))*BT28</f>
        <v>0.14876584214512345</v>
      </c>
      <c r="BV28" s="254">
        <f>(((BU28/386.4)*(BP28^2+BQ28^2))/8)</f>
        <v>3.0012839706995199E-4</v>
      </c>
      <c r="BW28" s="255">
        <f>IF(BW34=0,1,BW34)</f>
        <v>1</v>
      </c>
      <c r="BX28" s="256">
        <f>(BV28/(BW28^2))</f>
        <v>3.0012839706995199E-4</v>
      </c>
      <c r="BZ28" s="250" t="s">
        <v>617</v>
      </c>
      <c r="CA28" s="251">
        <v>1.871</v>
      </c>
      <c r="CB28" s="251">
        <v>1.6539999999999999</v>
      </c>
      <c r="CC28" s="251">
        <v>0.875</v>
      </c>
      <c r="CD28" s="251">
        <v>0.28299999999999997</v>
      </c>
      <c r="CE28" s="257">
        <v>1</v>
      </c>
      <c r="CF28" s="253">
        <f>((PI()*CC28*CD28/4)*(CA28^2-CB28^2))*CE28</f>
        <v>0.14876584214512345</v>
      </c>
      <c r="CG28" s="254">
        <f>(((CF28/386.4)*(CA28^2+CB28^2))/8)</f>
        <v>3.0012839706995199E-4</v>
      </c>
      <c r="CH28" s="255">
        <f>IF(CH34=0,1,CH34)</f>
        <v>1</v>
      </c>
      <c r="CI28" s="256">
        <f>(CG28/(CH28^2))</f>
        <v>3.0012839706995199E-4</v>
      </c>
      <c r="CK28" s="250" t="s">
        <v>618</v>
      </c>
      <c r="CL28" s="251">
        <v>2.40625</v>
      </c>
      <c r="CM28" s="251">
        <v>1.5</v>
      </c>
      <c r="CN28" s="251">
        <v>3.125</v>
      </c>
      <c r="CO28" s="251">
        <v>0.28299999999999997</v>
      </c>
      <c r="CP28" s="257">
        <v>1</v>
      </c>
      <c r="CQ28" s="253">
        <f>((PI()*CN28*CO28/4)*(CL28^2-CM28^2))*CP28</f>
        <v>2.4588633449565345</v>
      </c>
      <c r="CR28" s="254">
        <f>(((CQ28/386.4)*(CL28^2+CM28^2))/8)</f>
        <v>6.3953666352225512E-3</v>
      </c>
      <c r="CS28" s="255">
        <f>IF(CS34=0,1,CS34)</f>
        <v>1</v>
      </c>
      <c r="CT28" s="256">
        <f>(CR28/(CS28^2))</f>
        <v>6.3953666352225512E-3</v>
      </c>
      <c r="CV28" s="345" t="s">
        <v>805</v>
      </c>
      <c r="CW28" s="255">
        <v>3</v>
      </c>
      <c r="CX28" s="339">
        <v>1.5740000000000001</v>
      </c>
      <c r="CY28" s="339">
        <v>2</v>
      </c>
      <c r="CZ28" s="251">
        <v>0.28299999999999997</v>
      </c>
      <c r="DA28" s="257">
        <v>1</v>
      </c>
      <c r="DB28" s="340">
        <f>((PI()*CY28*CZ28/4)*(CW28^2-CX28^2))*DA28</f>
        <v>2.8994925575987298</v>
      </c>
      <c r="DC28" s="254">
        <f>(((DB28/386.4)*(CW28^2+CX28^2))/8)</f>
        <v>1.0765675544131095E-2</v>
      </c>
      <c r="DD28" s="255">
        <f>IF($DD$37=0,1,$DD$37)</f>
        <v>5</v>
      </c>
      <c r="DE28" s="256">
        <f>(DC28/(DD28^2))</f>
        <v>4.3062702176524379E-4</v>
      </c>
      <c r="DG28" s="250" t="s">
        <v>605</v>
      </c>
      <c r="DH28" s="255">
        <v>6.32</v>
      </c>
      <c r="DI28" s="339">
        <v>3</v>
      </c>
      <c r="DJ28" s="339">
        <v>2</v>
      </c>
      <c r="DK28" s="254">
        <v>0.28299999999999997</v>
      </c>
      <c r="DL28" s="257">
        <v>1</v>
      </c>
      <c r="DM28" s="340">
        <f>((PI()*DJ28*DK28/4)*(DH28^2-DI28^2))*DL28</f>
        <v>13.754990938207809</v>
      </c>
      <c r="DN28" s="254">
        <f>(((DM28/386.4)*(DH28^2+DI28^2))/8)</f>
        <v>0.21778023696109669</v>
      </c>
      <c r="DO28" s="255">
        <f>IF(DO37=0,1,DO37)</f>
        <v>5</v>
      </c>
      <c r="DP28" s="256">
        <f>(DN28/(DO28^2))</f>
        <v>8.7112094784438671E-3</v>
      </c>
      <c r="DR28" s="345"/>
      <c r="DS28" s="258"/>
      <c r="DT28" s="258"/>
      <c r="DU28" s="258"/>
      <c r="DV28" s="245"/>
      <c r="DW28" s="245"/>
      <c r="DX28" s="340"/>
      <c r="DY28" s="254"/>
      <c r="DZ28" s="341"/>
      <c r="EA28" s="256"/>
    </row>
    <row r="29" spans="1:131" ht="15.75" x14ac:dyDescent="0.25">
      <c r="A29" s="248"/>
      <c r="B29" s="338" t="s">
        <v>619</v>
      </c>
      <c r="C29" s="338" t="s">
        <v>620</v>
      </c>
      <c r="D29" s="338"/>
      <c r="E29" s="338" t="s">
        <v>621</v>
      </c>
      <c r="F29" s="338"/>
      <c r="G29" s="245"/>
      <c r="H29" s="338" t="s">
        <v>576</v>
      </c>
      <c r="I29" s="338" t="s">
        <v>103</v>
      </c>
      <c r="J29" s="338" t="s">
        <v>577</v>
      </c>
      <c r="L29" s="248"/>
      <c r="M29" s="338" t="s">
        <v>619</v>
      </c>
      <c r="N29" s="338" t="s">
        <v>620</v>
      </c>
      <c r="O29" s="338"/>
      <c r="P29" s="338" t="s">
        <v>621</v>
      </c>
      <c r="Q29" s="338"/>
      <c r="R29" s="245"/>
      <c r="S29" s="338" t="s">
        <v>576</v>
      </c>
      <c r="T29" s="338" t="s">
        <v>103</v>
      </c>
      <c r="U29" s="338" t="s">
        <v>577</v>
      </c>
      <c r="W29" s="248"/>
      <c r="X29" s="338" t="s">
        <v>619</v>
      </c>
      <c r="Y29" s="338" t="s">
        <v>620</v>
      </c>
      <c r="Z29" s="338"/>
      <c r="AA29" s="338" t="s">
        <v>621</v>
      </c>
      <c r="AB29" s="338"/>
      <c r="AC29" s="245"/>
      <c r="AD29" s="338" t="s">
        <v>576</v>
      </c>
      <c r="AE29" s="338" t="s">
        <v>103</v>
      </c>
      <c r="AF29" s="338" t="s">
        <v>577</v>
      </c>
      <c r="AH29" s="248"/>
      <c r="AI29" s="338" t="s">
        <v>619</v>
      </c>
      <c r="AJ29" s="338" t="s">
        <v>620</v>
      </c>
      <c r="AK29" s="338"/>
      <c r="AL29" s="338" t="s">
        <v>621</v>
      </c>
      <c r="AM29" s="338"/>
      <c r="AN29" s="245"/>
      <c r="AO29" s="338" t="s">
        <v>576</v>
      </c>
      <c r="AP29" s="338" t="s">
        <v>103</v>
      </c>
      <c r="AQ29" s="338" t="s">
        <v>577</v>
      </c>
      <c r="AS29" s="248"/>
      <c r="AT29" s="258"/>
      <c r="AU29" s="258"/>
      <c r="AV29" s="258"/>
      <c r="AW29" s="258"/>
      <c r="AX29" s="258"/>
      <c r="AY29" s="258"/>
      <c r="AZ29" s="258"/>
      <c r="BA29" s="258"/>
      <c r="BB29" s="258"/>
      <c r="BD29" s="248"/>
      <c r="BE29" s="258"/>
      <c r="BF29" s="258"/>
      <c r="BG29" s="258"/>
      <c r="BH29" s="258"/>
      <c r="BI29" s="258"/>
      <c r="BJ29" s="258"/>
      <c r="BK29" s="258"/>
      <c r="BL29" s="258"/>
      <c r="BM29" s="258"/>
      <c r="BO29" s="248"/>
      <c r="BP29" s="258"/>
      <c r="BQ29" s="258"/>
      <c r="BR29" s="258"/>
      <c r="BS29" s="258"/>
      <c r="BT29" s="258"/>
      <c r="BU29" s="258"/>
      <c r="BV29" s="258"/>
      <c r="BW29" s="258"/>
      <c r="BX29" s="258"/>
      <c r="BZ29" s="248"/>
      <c r="CA29" s="258"/>
      <c r="CB29" s="258"/>
      <c r="CC29" s="258"/>
      <c r="CD29" s="258"/>
      <c r="CE29" s="258"/>
      <c r="CF29" s="258"/>
      <c r="CG29" s="258"/>
      <c r="CH29" s="258"/>
      <c r="CI29" s="258"/>
      <c r="CK29" s="250"/>
      <c r="CL29" s="251"/>
      <c r="CM29" s="251"/>
      <c r="CN29" s="251"/>
      <c r="CO29" s="251"/>
      <c r="CP29" s="245"/>
      <c r="CQ29" s="253"/>
      <c r="CR29" s="254"/>
      <c r="CS29" s="245"/>
      <c r="CT29" s="245"/>
      <c r="CV29" s="250" t="s">
        <v>804</v>
      </c>
      <c r="CW29" s="255"/>
      <c r="CX29" s="339"/>
      <c r="CY29" s="339"/>
      <c r="CZ29" s="251"/>
      <c r="DA29" s="257"/>
      <c r="DB29" s="340"/>
      <c r="DC29" s="254"/>
      <c r="DD29" s="255"/>
      <c r="DE29" s="256"/>
      <c r="DG29" s="345" t="s">
        <v>805</v>
      </c>
      <c r="DH29" s="255">
        <v>3</v>
      </c>
      <c r="DI29" s="339">
        <v>1.5740000000000001</v>
      </c>
      <c r="DJ29" s="339">
        <v>2</v>
      </c>
      <c r="DK29" s="254">
        <v>0.28299999999999997</v>
      </c>
      <c r="DL29" s="257">
        <v>1</v>
      </c>
      <c r="DM29" s="340">
        <f>((PI()*DJ29*DK29/4)*(DH29^2-DI29^2))*DL29</f>
        <v>2.8994925575987298</v>
      </c>
      <c r="DN29" s="254">
        <f>(((DM29/386.4)*(DH29^2+DI29^2))/8)</f>
        <v>1.0765675544131095E-2</v>
      </c>
      <c r="DO29" s="255">
        <f>IF(DO37=0,1,DO37)</f>
        <v>5</v>
      </c>
      <c r="DP29" s="256">
        <f>(DN29/(DO29^2))</f>
        <v>4.3062702176524379E-4</v>
      </c>
      <c r="DR29" s="250" t="s">
        <v>605</v>
      </c>
      <c r="DS29" s="255">
        <v>6.32</v>
      </c>
      <c r="DT29" s="339">
        <v>3</v>
      </c>
      <c r="DU29" s="339">
        <v>2</v>
      </c>
      <c r="DV29" s="251">
        <v>0.28299999999999997</v>
      </c>
      <c r="DW29" s="257">
        <v>1</v>
      </c>
      <c r="DX29" s="340">
        <f>((PI()*DU29*DV29/4)*(DS29^2-DT29^2))*DW29</f>
        <v>13.754990938207809</v>
      </c>
      <c r="DY29" s="254">
        <f>(((DX29/386.4)*(DS29^2+DT29^2))/8)</f>
        <v>0.21778023696109669</v>
      </c>
      <c r="DZ29" s="341">
        <f>IF(DZ37=0,1,DZ37)</f>
        <v>5</v>
      </c>
      <c r="EA29" s="256">
        <f>(DY29/(DZ29^2))</f>
        <v>8.7112094784438671E-3</v>
      </c>
    </row>
    <row r="30" spans="1:131" ht="15.75" x14ac:dyDescent="0.25">
      <c r="A30" s="248"/>
      <c r="B30" s="338"/>
      <c r="C30" s="338"/>
      <c r="D30" s="338"/>
      <c r="E30" s="338"/>
      <c r="F30" s="338"/>
      <c r="G30" s="245"/>
      <c r="H30" s="338"/>
      <c r="I30" s="338"/>
      <c r="J30" s="338"/>
      <c r="L30" s="248"/>
      <c r="M30" s="338"/>
      <c r="N30" s="338"/>
      <c r="O30" s="338"/>
      <c r="P30" s="338"/>
      <c r="Q30" s="338"/>
      <c r="R30" s="245"/>
      <c r="S30" s="338"/>
      <c r="T30" s="338"/>
      <c r="U30" s="338"/>
      <c r="W30" s="248"/>
      <c r="X30" s="338"/>
      <c r="Y30" s="338"/>
      <c r="Z30" s="338"/>
      <c r="AA30" s="338"/>
      <c r="AB30" s="338"/>
      <c r="AC30" s="245"/>
      <c r="AD30" s="338"/>
      <c r="AE30" s="338"/>
      <c r="AF30" s="338"/>
      <c r="AH30" s="248"/>
      <c r="AI30" s="338"/>
      <c r="AJ30" s="338"/>
      <c r="AK30" s="338"/>
      <c r="AL30" s="338"/>
      <c r="AM30" s="338"/>
      <c r="AN30" s="245"/>
      <c r="AO30" s="338"/>
      <c r="AP30" s="338"/>
      <c r="AQ30" s="338"/>
      <c r="AS30" s="248"/>
      <c r="AT30" s="245"/>
      <c r="AU30" s="245"/>
      <c r="AV30" s="245"/>
      <c r="AW30" s="245"/>
      <c r="AX30" s="245"/>
      <c r="AY30" s="245"/>
      <c r="AZ30" s="245"/>
      <c r="BA30" s="245"/>
      <c r="BB30" s="245"/>
      <c r="BD30" s="248"/>
      <c r="BE30" s="245"/>
      <c r="BF30" s="245"/>
      <c r="BG30" s="245"/>
      <c r="BH30" s="245"/>
      <c r="BI30" s="245"/>
      <c r="BJ30" s="245"/>
      <c r="BK30" s="245"/>
      <c r="BL30" s="245"/>
      <c r="BM30" s="245"/>
      <c r="BO30" s="248"/>
      <c r="BP30" s="245"/>
      <c r="BQ30" s="245"/>
      <c r="BR30" s="245"/>
      <c r="BS30" s="245"/>
      <c r="BT30" s="245"/>
      <c r="BU30" s="245"/>
      <c r="BV30" s="245"/>
      <c r="BW30" s="245"/>
      <c r="BX30" s="245"/>
      <c r="BZ30" s="248"/>
      <c r="CA30" s="245"/>
      <c r="CB30" s="245"/>
      <c r="CC30" s="245"/>
      <c r="CD30" s="245"/>
      <c r="CE30" s="245"/>
      <c r="CF30" s="245"/>
      <c r="CG30" s="245"/>
      <c r="CH30" s="245"/>
      <c r="CI30" s="245"/>
      <c r="CK30" s="248"/>
      <c r="CL30" s="245"/>
      <c r="CM30" s="245"/>
      <c r="CN30" s="245"/>
      <c r="CO30" s="245"/>
      <c r="CP30" s="245"/>
      <c r="CQ30" s="245"/>
      <c r="CR30" s="245"/>
      <c r="CS30" s="245"/>
      <c r="CT30" s="245"/>
      <c r="CV30" s="250"/>
      <c r="CW30" s="255"/>
      <c r="CX30" s="339"/>
      <c r="CY30" s="339"/>
      <c r="CZ30" s="251"/>
      <c r="DA30" s="257"/>
      <c r="DB30" s="340"/>
      <c r="DC30" s="254"/>
      <c r="DD30" s="255"/>
      <c r="DE30" s="256"/>
      <c r="DG30" s="250" t="s">
        <v>804</v>
      </c>
      <c r="DH30" s="339"/>
      <c r="DI30" s="339"/>
      <c r="DJ30" s="339"/>
      <c r="DK30" s="254"/>
      <c r="DL30" s="257"/>
      <c r="DM30" s="340"/>
      <c r="DN30" s="254"/>
      <c r="DO30" s="255"/>
      <c r="DP30" s="256"/>
      <c r="DR30" s="345" t="s">
        <v>805</v>
      </c>
      <c r="DS30" s="255">
        <v>3</v>
      </c>
      <c r="DT30" s="339">
        <v>1.5740000000000001</v>
      </c>
      <c r="DU30" s="339">
        <v>2</v>
      </c>
      <c r="DV30" s="251">
        <v>0.28299999999999997</v>
      </c>
      <c r="DW30" s="257">
        <v>1</v>
      </c>
      <c r="DX30" s="340">
        <f>((PI()*DU30*DV30/4)*(DS30^2-DT30^2))*DW30</f>
        <v>2.8994925575987298</v>
      </c>
      <c r="DY30" s="254">
        <f>(((DX30/386.4)*(DS30^2+DT30^2))/8)</f>
        <v>1.0765675544131095E-2</v>
      </c>
      <c r="DZ30" s="341">
        <f>IF(DZ37=0,1,DZ37)</f>
        <v>5</v>
      </c>
      <c r="EA30" s="256">
        <f>(DY30/(DZ30^2))</f>
        <v>4.3062702176524379E-4</v>
      </c>
    </row>
    <row r="31" spans="1:131" ht="15.75" x14ac:dyDescent="0.25">
      <c r="A31" s="248"/>
      <c r="B31" s="338"/>
      <c r="C31" s="338"/>
      <c r="D31" s="338"/>
      <c r="E31" s="338"/>
      <c r="F31" s="338"/>
      <c r="G31" s="245"/>
      <c r="H31" s="338"/>
      <c r="I31" s="338"/>
      <c r="J31" s="338"/>
      <c r="L31" s="248"/>
      <c r="M31" s="338"/>
      <c r="N31" s="338"/>
      <c r="O31" s="338"/>
      <c r="P31" s="338"/>
      <c r="Q31" s="338"/>
      <c r="R31" s="245"/>
      <c r="S31" s="338"/>
      <c r="T31" s="338"/>
      <c r="U31" s="338"/>
      <c r="W31" s="248"/>
      <c r="X31" s="338"/>
      <c r="Y31" s="338"/>
      <c r="Z31" s="338"/>
      <c r="AA31" s="338"/>
      <c r="AB31" s="338"/>
      <c r="AC31" s="245"/>
      <c r="AD31" s="338"/>
      <c r="AE31" s="338"/>
      <c r="AF31" s="338"/>
      <c r="AH31" s="248"/>
      <c r="AI31" s="338"/>
      <c r="AJ31" s="338"/>
      <c r="AK31" s="338"/>
      <c r="AL31" s="338"/>
      <c r="AM31" s="338"/>
      <c r="AN31" s="245"/>
      <c r="AO31" s="338"/>
      <c r="AP31" s="338"/>
      <c r="AQ31" s="338"/>
      <c r="AS31" s="248"/>
      <c r="AT31" s="338" t="s">
        <v>619</v>
      </c>
      <c r="AU31" s="338" t="s">
        <v>620</v>
      </c>
      <c r="AV31" s="338"/>
      <c r="AW31" s="338" t="s">
        <v>621</v>
      </c>
      <c r="AX31" s="338"/>
      <c r="AY31" s="245"/>
      <c r="AZ31" s="338" t="s">
        <v>576</v>
      </c>
      <c r="BA31" s="338" t="s">
        <v>103</v>
      </c>
      <c r="BB31" s="338" t="s">
        <v>577</v>
      </c>
      <c r="BD31" s="248"/>
      <c r="BE31" s="338" t="s">
        <v>619</v>
      </c>
      <c r="BF31" s="338" t="s">
        <v>620</v>
      </c>
      <c r="BG31" s="338"/>
      <c r="BH31" s="338" t="s">
        <v>621</v>
      </c>
      <c r="BI31" s="338"/>
      <c r="BJ31" s="245"/>
      <c r="BK31" s="338" t="s">
        <v>576</v>
      </c>
      <c r="BL31" s="338" t="s">
        <v>103</v>
      </c>
      <c r="BM31" s="338" t="s">
        <v>577</v>
      </c>
      <c r="BO31" s="248"/>
      <c r="BP31" s="338" t="s">
        <v>619</v>
      </c>
      <c r="BQ31" s="338" t="s">
        <v>620</v>
      </c>
      <c r="BR31" s="338"/>
      <c r="BS31" s="338" t="s">
        <v>621</v>
      </c>
      <c r="BT31" s="338"/>
      <c r="BU31" s="245"/>
      <c r="BV31" s="338" t="s">
        <v>576</v>
      </c>
      <c r="BW31" s="338" t="s">
        <v>103</v>
      </c>
      <c r="BX31" s="338" t="s">
        <v>577</v>
      </c>
      <c r="BZ31" s="248"/>
      <c r="CA31" s="338" t="s">
        <v>619</v>
      </c>
      <c r="CB31" s="338" t="s">
        <v>620</v>
      </c>
      <c r="CC31" s="338"/>
      <c r="CD31" s="338" t="s">
        <v>621</v>
      </c>
      <c r="CE31" s="338"/>
      <c r="CF31" s="245"/>
      <c r="CG31" s="338" t="s">
        <v>576</v>
      </c>
      <c r="CH31" s="338" t="s">
        <v>103</v>
      </c>
      <c r="CI31" s="338" t="s">
        <v>577</v>
      </c>
      <c r="CK31" s="248"/>
      <c r="CL31" s="338" t="s">
        <v>619</v>
      </c>
      <c r="CM31" s="338" t="s">
        <v>620</v>
      </c>
      <c r="CN31" s="338"/>
      <c r="CO31" s="338" t="s">
        <v>621</v>
      </c>
      <c r="CP31" s="338"/>
      <c r="CQ31" s="245"/>
      <c r="CR31" s="338" t="s">
        <v>576</v>
      </c>
      <c r="CS31" s="338" t="s">
        <v>103</v>
      </c>
      <c r="CT31" s="338" t="s">
        <v>577</v>
      </c>
      <c r="CV31" s="248"/>
      <c r="CW31" s="258"/>
      <c r="CX31" s="258"/>
      <c r="CY31" s="258"/>
      <c r="CZ31" s="258"/>
      <c r="DA31" s="258"/>
      <c r="DB31" s="346"/>
      <c r="DC31" s="258"/>
      <c r="DD31" s="258"/>
      <c r="DE31" s="258"/>
      <c r="DG31" s="250"/>
      <c r="DH31" s="339"/>
      <c r="DI31" s="339"/>
      <c r="DJ31" s="339"/>
      <c r="DK31" s="254"/>
      <c r="DL31" s="257"/>
      <c r="DM31" s="340"/>
      <c r="DN31" s="254"/>
      <c r="DO31" s="255"/>
      <c r="DP31" s="256"/>
      <c r="DR31" s="250" t="s">
        <v>804</v>
      </c>
      <c r="DS31" s="339"/>
      <c r="DT31" s="339"/>
      <c r="DU31" s="339"/>
      <c r="DV31" s="251"/>
      <c r="DW31" s="245"/>
      <c r="DX31" s="347"/>
      <c r="DY31" s="348"/>
      <c r="DZ31" s="341"/>
      <c r="EA31" s="349"/>
    </row>
    <row r="32" spans="1:131" ht="15.75" x14ac:dyDescent="0.25">
      <c r="A32" s="250" t="s">
        <v>622</v>
      </c>
      <c r="B32" s="245"/>
      <c r="C32" s="245"/>
      <c r="D32" s="245"/>
      <c r="E32" s="257">
        <v>1</v>
      </c>
      <c r="F32" s="257">
        <v>0</v>
      </c>
      <c r="G32" s="245"/>
      <c r="H32" s="257">
        <v>0</v>
      </c>
      <c r="I32" s="257">
        <v>0</v>
      </c>
      <c r="J32" s="257">
        <f>H32*F32</f>
        <v>0</v>
      </c>
      <c r="L32" s="250" t="s">
        <v>622</v>
      </c>
      <c r="M32" s="245"/>
      <c r="N32" s="245"/>
      <c r="O32" s="245"/>
      <c r="P32" s="257">
        <v>1</v>
      </c>
      <c r="Q32" s="257">
        <v>0</v>
      </c>
      <c r="R32" s="245"/>
      <c r="S32" s="257">
        <v>0</v>
      </c>
      <c r="T32" s="257">
        <v>0</v>
      </c>
      <c r="U32" s="257">
        <f>S32*T32</f>
        <v>0</v>
      </c>
      <c r="W32" s="250" t="s">
        <v>622</v>
      </c>
      <c r="X32" s="245"/>
      <c r="Y32" s="245"/>
      <c r="Z32" s="245"/>
      <c r="AA32" s="257">
        <v>1</v>
      </c>
      <c r="AB32" s="257">
        <v>0</v>
      </c>
      <c r="AC32" s="245"/>
      <c r="AD32" s="257">
        <v>0</v>
      </c>
      <c r="AE32" s="257">
        <v>0</v>
      </c>
      <c r="AF32" s="257">
        <f>AD32*AE32</f>
        <v>0</v>
      </c>
      <c r="AH32" s="250" t="s">
        <v>622</v>
      </c>
      <c r="AI32" s="245"/>
      <c r="AJ32" s="245"/>
      <c r="AK32" s="245"/>
      <c r="AL32" s="257">
        <v>1</v>
      </c>
      <c r="AM32" s="257">
        <v>0</v>
      </c>
      <c r="AN32" s="245"/>
      <c r="AO32" s="257">
        <v>0</v>
      </c>
      <c r="AP32" s="257">
        <v>0</v>
      </c>
      <c r="AQ32" s="257">
        <f>AO32*AP32</f>
        <v>0</v>
      </c>
      <c r="AS32" s="248"/>
      <c r="AT32" s="338"/>
      <c r="AU32" s="338"/>
      <c r="AV32" s="338"/>
      <c r="AW32" s="338"/>
      <c r="AX32" s="338"/>
      <c r="AY32" s="245"/>
      <c r="AZ32" s="338"/>
      <c r="BA32" s="338"/>
      <c r="BB32" s="338"/>
      <c r="BD32" s="248"/>
      <c r="BE32" s="338"/>
      <c r="BF32" s="338"/>
      <c r="BG32" s="338"/>
      <c r="BH32" s="338"/>
      <c r="BI32" s="338"/>
      <c r="BJ32" s="245"/>
      <c r="BK32" s="338"/>
      <c r="BL32" s="338"/>
      <c r="BM32" s="338"/>
      <c r="BO32" s="248"/>
      <c r="BP32" s="338"/>
      <c r="BQ32" s="338"/>
      <c r="BR32" s="338"/>
      <c r="BS32" s="338"/>
      <c r="BT32" s="338"/>
      <c r="BU32" s="245"/>
      <c r="BV32" s="338"/>
      <c r="BW32" s="338"/>
      <c r="BX32" s="338"/>
      <c r="BZ32" s="248"/>
      <c r="CA32" s="338"/>
      <c r="CB32" s="338"/>
      <c r="CC32" s="338"/>
      <c r="CD32" s="338"/>
      <c r="CE32" s="338"/>
      <c r="CF32" s="245"/>
      <c r="CG32" s="338"/>
      <c r="CH32" s="338"/>
      <c r="CI32" s="338"/>
      <c r="CK32" s="248"/>
      <c r="CL32" s="338"/>
      <c r="CM32" s="338"/>
      <c r="CN32" s="338"/>
      <c r="CO32" s="338"/>
      <c r="CP32" s="338"/>
      <c r="CQ32" s="245"/>
      <c r="CR32" s="338"/>
      <c r="CS32" s="338"/>
      <c r="CT32" s="338"/>
      <c r="CV32" s="248"/>
      <c r="CW32" s="258"/>
      <c r="CX32" s="258"/>
      <c r="CY32" s="258"/>
      <c r="CZ32" s="258"/>
      <c r="DA32" s="258"/>
      <c r="DB32" s="346"/>
      <c r="DC32" s="258"/>
      <c r="DD32" s="258"/>
      <c r="DE32" s="258"/>
      <c r="DG32" s="248"/>
      <c r="DH32" s="258"/>
      <c r="DI32" s="258"/>
      <c r="DJ32" s="258"/>
      <c r="DK32" s="258"/>
      <c r="DL32" s="258"/>
      <c r="DM32" s="346"/>
      <c r="DN32" s="258"/>
      <c r="DO32" s="258"/>
      <c r="DP32" s="258"/>
      <c r="DR32" s="250"/>
      <c r="DS32" s="341"/>
      <c r="DT32" s="341"/>
      <c r="DU32" s="258"/>
      <c r="DV32" s="343"/>
      <c r="DW32" s="245"/>
      <c r="DX32" s="347"/>
      <c r="DY32" s="348"/>
      <c r="DZ32" s="341"/>
      <c r="EA32" s="349"/>
    </row>
    <row r="33" spans="1:131" ht="15.75" x14ac:dyDescent="0.25">
      <c r="A33" s="250"/>
      <c r="B33" s="245"/>
      <c r="C33" s="245"/>
      <c r="D33" s="245"/>
      <c r="E33" s="245"/>
      <c r="F33" s="245"/>
      <c r="G33" s="245"/>
      <c r="H33" s="245"/>
      <c r="I33" s="245"/>
      <c r="J33" s="245"/>
      <c r="L33" s="250"/>
      <c r="M33" s="245"/>
      <c r="N33" s="245"/>
      <c r="O33" s="245"/>
      <c r="P33" s="245"/>
      <c r="Q33" s="245"/>
      <c r="R33" s="245"/>
      <c r="S33" s="245"/>
      <c r="T33" s="245"/>
      <c r="U33" s="245"/>
      <c r="W33" s="250"/>
      <c r="X33" s="245"/>
      <c r="Y33" s="245"/>
      <c r="Z33" s="245"/>
      <c r="AA33" s="245"/>
      <c r="AB33" s="245"/>
      <c r="AC33" s="245"/>
      <c r="AD33" s="245"/>
      <c r="AE33" s="245"/>
      <c r="AF33" s="245"/>
      <c r="AH33" s="250"/>
      <c r="AI33" s="245"/>
      <c r="AJ33" s="245"/>
      <c r="AK33" s="245"/>
      <c r="AL33" s="245"/>
      <c r="AM33" s="245"/>
      <c r="AN33" s="245"/>
      <c r="AO33" s="245"/>
      <c r="AP33" s="245"/>
      <c r="AQ33" s="245"/>
      <c r="AS33" s="248"/>
      <c r="AT33" s="338"/>
      <c r="AU33" s="338"/>
      <c r="AV33" s="338"/>
      <c r="AW33" s="338"/>
      <c r="AX33" s="338"/>
      <c r="AY33" s="245"/>
      <c r="AZ33" s="338"/>
      <c r="BA33" s="338"/>
      <c r="BB33" s="338"/>
      <c r="BD33" s="248"/>
      <c r="BE33" s="338"/>
      <c r="BF33" s="338"/>
      <c r="BG33" s="338"/>
      <c r="BH33" s="338"/>
      <c r="BI33" s="338"/>
      <c r="BJ33" s="245"/>
      <c r="BK33" s="338"/>
      <c r="BL33" s="338"/>
      <c r="BM33" s="338"/>
      <c r="BO33" s="248"/>
      <c r="BP33" s="338"/>
      <c r="BQ33" s="338"/>
      <c r="BR33" s="338"/>
      <c r="BS33" s="338"/>
      <c r="BT33" s="338"/>
      <c r="BU33" s="245"/>
      <c r="BV33" s="338"/>
      <c r="BW33" s="338"/>
      <c r="BX33" s="338"/>
      <c r="BZ33" s="248"/>
      <c r="CA33" s="338"/>
      <c r="CB33" s="338"/>
      <c r="CC33" s="338"/>
      <c r="CD33" s="338"/>
      <c r="CE33" s="338"/>
      <c r="CF33" s="245"/>
      <c r="CG33" s="338"/>
      <c r="CH33" s="338"/>
      <c r="CI33" s="338"/>
      <c r="CK33" s="248"/>
      <c r="CL33" s="338"/>
      <c r="CM33" s="338"/>
      <c r="CN33" s="338"/>
      <c r="CO33" s="338"/>
      <c r="CP33" s="338"/>
      <c r="CQ33" s="245"/>
      <c r="CR33" s="338"/>
      <c r="CS33" s="338"/>
      <c r="CT33" s="338"/>
      <c r="CV33" s="248"/>
      <c r="CW33" s="245"/>
      <c r="CX33" s="245"/>
      <c r="CY33" s="245"/>
      <c r="CZ33" s="245"/>
      <c r="DA33" s="245"/>
      <c r="DB33" s="245"/>
      <c r="DC33" s="245"/>
      <c r="DD33" s="245"/>
      <c r="DE33" s="245"/>
      <c r="DG33" s="248"/>
      <c r="DH33" s="258"/>
      <c r="DI33" s="258"/>
      <c r="DJ33" s="258"/>
      <c r="DK33" s="258"/>
      <c r="DL33" s="258"/>
      <c r="DM33" s="346"/>
      <c r="DN33" s="258"/>
      <c r="DO33" s="258"/>
      <c r="DP33" s="258"/>
      <c r="DR33" s="248"/>
      <c r="DS33" s="245"/>
      <c r="DT33" s="245"/>
      <c r="DU33" s="245"/>
      <c r="DV33" s="245"/>
      <c r="DW33" s="245"/>
      <c r="DX33" s="245"/>
      <c r="DY33" s="245"/>
      <c r="DZ33" s="245"/>
      <c r="EA33" s="245"/>
    </row>
    <row r="34" spans="1:131" ht="15.75" x14ac:dyDescent="0.25">
      <c r="A34" s="250"/>
      <c r="B34" s="245"/>
      <c r="C34" s="245"/>
      <c r="D34" s="245"/>
      <c r="E34" s="245"/>
      <c r="F34" s="245"/>
      <c r="G34" s="245"/>
      <c r="H34" s="245"/>
      <c r="I34" s="245"/>
      <c r="J34" s="245"/>
      <c r="L34" s="250"/>
      <c r="M34" s="245"/>
      <c r="N34" s="245"/>
      <c r="O34" s="245"/>
      <c r="P34" s="245"/>
      <c r="Q34" s="245"/>
      <c r="R34" s="245"/>
      <c r="S34" s="245"/>
      <c r="T34" s="245"/>
      <c r="U34" s="245"/>
      <c r="W34" s="250"/>
      <c r="X34" s="245"/>
      <c r="Y34" s="245"/>
      <c r="Z34" s="245"/>
      <c r="AA34" s="245"/>
      <c r="AB34" s="245"/>
      <c r="AC34" s="245"/>
      <c r="AD34" s="245"/>
      <c r="AE34" s="245"/>
      <c r="AF34" s="245"/>
      <c r="AH34" s="250"/>
      <c r="AI34" s="245"/>
      <c r="AJ34" s="245"/>
      <c r="AK34" s="245"/>
      <c r="AL34" s="245"/>
      <c r="AM34" s="245"/>
      <c r="AN34" s="245"/>
      <c r="AO34" s="245"/>
      <c r="AP34" s="245"/>
      <c r="AQ34" s="245"/>
      <c r="AS34" s="250" t="s">
        <v>622</v>
      </c>
      <c r="AT34" s="245"/>
      <c r="AU34" s="245"/>
      <c r="AV34" s="245"/>
      <c r="AW34" s="257">
        <v>1</v>
      </c>
      <c r="AX34" s="257">
        <v>0</v>
      </c>
      <c r="AY34" s="245"/>
      <c r="AZ34" s="257">
        <v>0</v>
      </c>
      <c r="BA34" s="257">
        <v>0</v>
      </c>
      <c r="BB34" s="257">
        <f>AZ34*BA34</f>
        <v>0</v>
      </c>
      <c r="BD34" s="250" t="s">
        <v>622</v>
      </c>
      <c r="BE34" s="245"/>
      <c r="BF34" s="245"/>
      <c r="BG34" s="245"/>
      <c r="BH34" s="257">
        <v>1</v>
      </c>
      <c r="BI34" s="257">
        <v>0</v>
      </c>
      <c r="BJ34" s="245"/>
      <c r="BK34" s="257">
        <v>0</v>
      </c>
      <c r="BL34" s="257">
        <v>0</v>
      </c>
      <c r="BM34" s="257">
        <f>BK34*BL34</f>
        <v>0</v>
      </c>
      <c r="BO34" s="250" t="s">
        <v>622</v>
      </c>
      <c r="BP34" s="245"/>
      <c r="BQ34" s="245"/>
      <c r="BR34" s="245"/>
      <c r="BS34" s="257">
        <v>1</v>
      </c>
      <c r="BT34" s="257">
        <v>0</v>
      </c>
      <c r="BU34" s="245"/>
      <c r="BV34" s="257">
        <v>0</v>
      </c>
      <c r="BW34" s="257">
        <v>0</v>
      </c>
      <c r="BX34" s="257">
        <f>BV34*BW34</f>
        <v>0</v>
      </c>
      <c r="BZ34" s="250" t="s">
        <v>622</v>
      </c>
      <c r="CA34" s="245"/>
      <c r="CB34" s="245"/>
      <c r="CC34" s="245"/>
      <c r="CD34" s="257">
        <v>1</v>
      </c>
      <c r="CE34" s="257">
        <v>0</v>
      </c>
      <c r="CF34" s="245"/>
      <c r="CG34" s="257">
        <v>0</v>
      </c>
      <c r="CH34" s="257">
        <v>0</v>
      </c>
      <c r="CI34" s="257">
        <f>CG34*CH34</f>
        <v>0</v>
      </c>
      <c r="CK34" s="250" t="s">
        <v>622</v>
      </c>
      <c r="CL34" s="245"/>
      <c r="CM34" s="245"/>
      <c r="CN34" s="245"/>
      <c r="CO34" s="257">
        <v>1</v>
      </c>
      <c r="CP34" s="257">
        <v>0</v>
      </c>
      <c r="CQ34" s="245"/>
      <c r="CR34" s="257">
        <v>0</v>
      </c>
      <c r="CS34" s="257">
        <v>0</v>
      </c>
      <c r="CT34" s="257">
        <f>CR34*CS34</f>
        <v>0</v>
      </c>
      <c r="CV34" s="248"/>
      <c r="CW34" s="338" t="s">
        <v>619</v>
      </c>
      <c r="CX34" s="338" t="s">
        <v>620</v>
      </c>
      <c r="CY34" s="338"/>
      <c r="CZ34" s="338" t="s">
        <v>621</v>
      </c>
      <c r="DA34" s="338" t="s">
        <v>574</v>
      </c>
      <c r="DB34" s="245"/>
      <c r="DC34" s="338" t="s">
        <v>576</v>
      </c>
      <c r="DD34" s="338" t="s">
        <v>103</v>
      </c>
      <c r="DE34" s="338" t="s">
        <v>577</v>
      </c>
      <c r="DG34" s="248"/>
      <c r="DH34" s="338" t="s">
        <v>619</v>
      </c>
      <c r="DI34" s="338" t="s">
        <v>620</v>
      </c>
      <c r="DJ34" s="338"/>
      <c r="DK34" s="338" t="s">
        <v>621</v>
      </c>
      <c r="DL34" s="338" t="s">
        <v>574</v>
      </c>
      <c r="DM34" s="245"/>
      <c r="DN34" s="338" t="s">
        <v>576</v>
      </c>
      <c r="DO34" s="338" t="s">
        <v>103</v>
      </c>
      <c r="DP34" s="338" t="s">
        <v>577</v>
      </c>
      <c r="DR34" s="248"/>
      <c r="DS34" s="338" t="s">
        <v>619</v>
      </c>
      <c r="DT34" s="338" t="s">
        <v>620</v>
      </c>
      <c r="DU34" s="338"/>
      <c r="DV34" s="338" t="s">
        <v>621</v>
      </c>
      <c r="DW34" s="338" t="s">
        <v>574</v>
      </c>
      <c r="DX34" s="245"/>
      <c r="DY34" s="338" t="s">
        <v>576</v>
      </c>
      <c r="DZ34" s="338" t="s">
        <v>103</v>
      </c>
      <c r="EA34" s="338" t="s">
        <v>577</v>
      </c>
    </row>
    <row r="35" spans="1:131" ht="15.75" x14ac:dyDescent="0.25">
      <c r="A35" s="250"/>
      <c r="B35" s="338" t="s">
        <v>114</v>
      </c>
      <c r="C35" s="338" t="s">
        <v>623</v>
      </c>
      <c r="D35" s="338" t="s">
        <v>624</v>
      </c>
      <c r="E35" s="338" t="s">
        <v>625</v>
      </c>
      <c r="F35" s="338" t="s">
        <v>626</v>
      </c>
      <c r="G35" s="338" t="s">
        <v>575</v>
      </c>
      <c r="H35" s="338" t="s">
        <v>576</v>
      </c>
      <c r="I35" s="338" t="s">
        <v>103</v>
      </c>
      <c r="J35" s="338" t="s">
        <v>577</v>
      </c>
      <c r="L35" s="250"/>
      <c r="M35" s="338" t="s">
        <v>114</v>
      </c>
      <c r="N35" s="338" t="s">
        <v>623</v>
      </c>
      <c r="O35" s="338" t="s">
        <v>624</v>
      </c>
      <c r="P35" s="338" t="s">
        <v>625</v>
      </c>
      <c r="Q35" s="338" t="s">
        <v>626</v>
      </c>
      <c r="R35" s="338" t="s">
        <v>575</v>
      </c>
      <c r="S35" s="338" t="s">
        <v>576</v>
      </c>
      <c r="T35" s="338" t="s">
        <v>103</v>
      </c>
      <c r="U35" s="338" t="s">
        <v>577</v>
      </c>
      <c r="W35" s="250"/>
      <c r="X35" s="338" t="s">
        <v>114</v>
      </c>
      <c r="Y35" s="338" t="s">
        <v>623</v>
      </c>
      <c r="Z35" s="338" t="s">
        <v>624</v>
      </c>
      <c r="AA35" s="338" t="s">
        <v>625</v>
      </c>
      <c r="AB35" s="338" t="s">
        <v>627</v>
      </c>
      <c r="AC35" s="338" t="s">
        <v>575</v>
      </c>
      <c r="AD35" s="338" t="s">
        <v>576</v>
      </c>
      <c r="AE35" s="338" t="s">
        <v>103</v>
      </c>
      <c r="AF35" s="338" t="s">
        <v>577</v>
      </c>
      <c r="AH35" s="250"/>
      <c r="AI35" s="338" t="s">
        <v>114</v>
      </c>
      <c r="AJ35" s="338" t="s">
        <v>623</v>
      </c>
      <c r="AK35" s="338" t="s">
        <v>624</v>
      </c>
      <c r="AL35" s="338" t="s">
        <v>625</v>
      </c>
      <c r="AM35" s="338" t="s">
        <v>627</v>
      </c>
      <c r="AN35" s="338" t="s">
        <v>575</v>
      </c>
      <c r="AO35" s="338" t="s">
        <v>576</v>
      </c>
      <c r="AP35" s="338" t="s">
        <v>103</v>
      </c>
      <c r="AQ35" s="338" t="s">
        <v>577</v>
      </c>
      <c r="AS35" s="250"/>
      <c r="AT35" s="245"/>
      <c r="AU35" s="245"/>
      <c r="AV35" s="245"/>
      <c r="AW35" s="245"/>
      <c r="AX35" s="245"/>
      <c r="AY35" s="245"/>
      <c r="AZ35" s="245"/>
      <c r="BA35" s="245"/>
      <c r="BB35" s="245"/>
      <c r="BD35" s="250"/>
      <c r="BE35" s="245"/>
      <c r="BF35" s="245"/>
      <c r="BG35" s="245"/>
      <c r="BH35" s="245"/>
      <c r="BI35" s="245"/>
      <c r="BJ35" s="245"/>
      <c r="BK35" s="245"/>
      <c r="BL35" s="245"/>
      <c r="BM35" s="245"/>
      <c r="BO35" s="250"/>
      <c r="BP35" s="245"/>
      <c r="BQ35" s="245"/>
      <c r="BR35" s="245"/>
      <c r="BS35" s="245"/>
      <c r="BT35" s="245"/>
      <c r="BU35" s="245"/>
      <c r="BV35" s="245"/>
      <c r="BW35" s="245"/>
      <c r="BX35" s="245"/>
      <c r="BZ35" s="250"/>
      <c r="CA35" s="245"/>
      <c r="CB35" s="245"/>
      <c r="CC35" s="245"/>
      <c r="CD35" s="245"/>
      <c r="CE35" s="245"/>
      <c r="CF35" s="245"/>
      <c r="CG35" s="245"/>
      <c r="CH35" s="245"/>
      <c r="CI35" s="245"/>
      <c r="CK35" s="250"/>
      <c r="CL35" s="245"/>
      <c r="CM35" s="245"/>
      <c r="CN35" s="245"/>
      <c r="CO35" s="245"/>
      <c r="CP35" s="245"/>
      <c r="CQ35" s="245"/>
      <c r="CR35" s="245"/>
      <c r="CS35" s="245"/>
      <c r="CT35" s="245"/>
      <c r="CV35" s="248"/>
      <c r="CW35" s="338"/>
      <c r="CX35" s="338"/>
      <c r="CY35" s="338"/>
      <c r="CZ35" s="338"/>
      <c r="DA35" s="338"/>
      <c r="DB35" s="245"/>
      <c r="DC35" s="338"/>
      <c r="DD35" s="338"/>
      <c r="DE35" s="338"/>
      <c r="DG35" s="248"/>
      <c r="DH35" s="338"/>
      <c r="DI35" s="338"/>
      <c r="DJ35" s="338"/>
      <c r="DK35" s="338"/>
      <c r="DL35" s="338"/>
      <c r="DM35" s="245"/>
      <c r="DN35" s="338"/>
      <c r="DO35" s="338"/>
      <c r="DP35" s="338"/>
      <c r="DR35" s="248"/>
      <c r="DS35" s="338"/>
      <c r="DT35" s="338"/>
      <c r="DU35" s="338"/>
      <c r="DV35" s="338"/>
      <c r="DW35" s="338"/>
      <c r="DX35" s="245"/>
      <c r="DY35" s="338"/>
      <c r="DZ35" s="338"/>
      <c r="EA35" s="338"/>
    </row>
    <row r="36" spans="1:131" ht="15.75" x14ac:dyDescent="0.25">
      <c r="A36" s="250" t="s">
        <v>628</v>
      </c>
      <c r="B36" s="338">
        <f ca="1">MatWidth</f>
        <v>18</v>
      </c>
      <c r="C36" s="338">
        <f ca="1">MatThickness</f>
        <v>0.25</v>
      </c>
      <c r="D36" s="338">
        <f ca="1">MatLnFLT</f>
        <v>48</v>
      </c>
      <c r="E36" s="338">
        <f ca="1">MatDensity</f>
        <v>0.28299999999999997</v>
      </c>
      <c r="F36" s="338">
        <f ca="1">MatLoop</f>
        <v>282.74333882308139</v>
      </c>
      <c r="G36" s="259">
        <f ca="1">B36*C36*E36*F36</f>
        <v>360.07364199119411</v>
      </c>
      <c r="H36" s="260">
        <f ca="1">((B36*C36*D36*E36)/32.3)*(((B7*0.5)^2)/144)*12</f>
        <v>0.19960042569659442</v>
      </c>
      <c r="I36" s="257">
        <f ca="1">Ratio</f>
        <v>11.111000000000001</v>
      </c>
      <c r="J36" s="260">
        <f ca="1">H36/(I36^2)</f>
        <v>1.6167957838964129E-3</v>
      </c>
      <c r="L36" s="250" t="s">
        <v>628</v>
      </c>
      <c r="M36" s="338">
        <f ca="1">MatWidth</f>
        <v>18</v>
      </c>
      <c r="N36" s="338">
        <f ca="1">MatThickness</f>
        <v>0.25</v>
      </c>
      <c r="O36" s="338">
        <f ca="1">MatLnFLT</f>
        <v>48</v>
      </c>
      <c r="P36" s="338">
        <f ca="1">MatDensity</f>
        <v>0.28299999999999997</v>
      </c>
      <c r="Q36" s="338">
        <f ca="1">MatLoop</f>
        <v>282.74333882308139</v>
      </c>
      <c r="R36" s="259">
        <f ca="1">M36*N36*P36*Q36</f>
        <v>360.07364199119411</v>
      </c>
      <c r="S36" s="260">
        <f ca="1">((M36*N36*O36*P36)/32.3)*(((M7*0.5)^2)/144)*12</f>
        <v>0.19960042569659442</v>
      </c>
      <c r="T36" s="257">
        <f ca="1">Ratio</f>
        <v>11.111000000000001</v>
      </c>
      <c r="U36" s="260">
        <f ca="1">S36/(T36^2)</f>
        <v>1.6167957838964129E-3</v>
      </c>
      <c r="W36" s="250" t="s">
        <v>628</v>
      </c>
      <c r="X36" s="338">
        <f ca="1">MatWidth</f>
        <v>18</v>
      </c>
      <c r="Y36" s="338">
        <f ca="1">MatThickness</f>
        <v>0.25</v>
      </c>
      <c r="Z36" s="338">
        <f ca="1">MatLnFLT</f>
        <v>48</v>
      </c>
      <c r="AA36" s="338">
        <f ca="1">MatDensity</f>
        <v>0.28299999999999997</v>
      </c>
      <c r="AB36" s="338">
        <f ca="1">MatLoop</f>
        <v>282.74333882308139</v>
      </c>
      <c r="AC36" s="259">
        <f ca="1">X36*Y36*AA36*AB36</f>
        <v>360.07364199119411</v>
      </c>
      <c r="AD36" s="260">
        <f ca="1">((X36*Y36*Z36*AA36)/32.3)*(((X7*0.5)^2)/144)*12</f>
        <v>0.27167835719814243</v>
      </c>
      <c r="AE36" s="257">
        <f ca="1">Ratio</f>
        <v>11.111000000000001</v>
      </c>
      <c r="AF36" s="260">
        <f ca="1">AD36/(AE36^2)</f>
        <v>2.2006387058590066E-3</v>
      </c>
      <c r="AH36" s="250" t="s">
        <v>628</v>
      </c>
      <c r="AI36" s="338">
        <f ca="1">MatWidth</f>
        <v>18</v>
      </c>
      <c r="AJ36" s="338">
        <f ca="1">MatThickness</f>
        <v>0.25</v>
      </c>
      <c r="AK36" s="338">
        <f ca="1">MatLnFLT</f>
        <v>48</v>
      </c>
      <c r="AL36" s="338">
        <f ca="1">MatDensity</f>
        <v>0.28299999999999997</v>
      </c>
      <c r="AM36" s="338">
        <f ca="1">MatLoop</f>
        <v>282.74333882308139</v>
      </c>
      <c r="AN36" s="259">
        <f ca="1">AI36*AJ36*AL36*AM36</f>
        <v>360.07364199119411</v>
      </c>
      <c r="AO36" s="260">
        <f ca="1">((AI36*AJ36*AK36*AL36)/32.3)*(((AI7*0.5)^2)/144)*12</f>
        <v>0.27167835719814243</v>
      </c>
      <c r="AP36" s="257">
        <f ca="1">Ratio</f>
        <v>11.111000000000001</v>
      </c>
      <c r="AQ36" s="260">
        <f ca="1">AO36/(AP36^2)</f>
        <v>2.2006387058590066E-3</v>
      </c>
      <c r="AS36" s="250"/>
      <c r="AT36" s="245"/>
      <c r="AU36" s="245"/>
      <c r="AV36" s="245"/>
      <c r="AW36" s="245"/>
      <c r="AX36" s="245"/>
      <c r="AY36" s="245"/>
      <c r="AZ36" s="245"/>
      <c r="BA36" s="245"/>
      <c r="BB36" s="245"/>
      <c r="BD36" s="250"/>
      <c r="BE36" s="245"/>
      <c r="BF36" s="245"/>
      <c r="BG36" s="245"/>
      <c r="BH36" s="245"/>
      <c r="BI36" s="245"/>
      <c r="BJ36" s="245"/>
      <c r="BK36" s="245"/>
      <c r="BL36" s="245"/>
      <c r="BM36" s="245"/>
      <c r="BO36" s="250"/>
      <c r="BP36" s="245"/>
      <c r="BQ36" s="245"/>
      <c r="BR36" s="245"/>
      <c r="BS36" s="245"/>
      <c r="BT36" s="245"/>
      <c r="BU36" s="245"/>
      <c r="BV36" s="245"/>
      <c r="BW36" s="245"/>
      <c r="BX36" s="245"/>
      <c r="BZ36" s="250"/>
      <c r="CA36" s="245"/>
      <c r="CB36" s="245"/>
      <c r="CC36" s="245"/>
      <c r="CD36" s="245"/>
      <c r="CE36" s="245"/>
      <c r="CF36" s="245"/>
      <c r="CG36" s="245"/>
      <c r="CH36" s="245"/>
      <c r="CI36" s="245"/>
      <c r="CK36" s="250"/>
      <c r="CL36" s="245"/>
      <c r="CM36" s="245"/>
      <c r="CN36" s="245"/>
      <c r="CO36" s="245"/>
      <c r="CP36" s="245"/>
      <c r="CQ36" s="245"/>
      <c r="CR36" s="245"/>
      <c r="CS36" s="245"/>
      <c r="CT36" s="245"/>
      <c r="CV36" s="248"/>
      <c r="CW36" s="338"/>
      <c r="CX36" s="338"/>
      <c r="CY36" s="338"/>
      <c r="CZ36" s="338"/>
      <c r="DA36" s="338"/>
      <c r="DB36" s="245"/>
      <c r="DC36" s="338"/>
      <c r="DD36" s="338"/>
      <c r="DE36" s="338"/>
      <c r="DG36" s="248"/>
      <c r="DH36" s="338"/>
      <c r="DI36" s="338"/>
      <c r="DJ36" s="338"/>
      <c r="DK36" s="338"/>
      <c r="DL36" s="338"/>
      <c r="DM36" s="245"/>
      <c r="DN36" s="338"/>
      <c r="DO36" s="338"/>
      <c r="DP36" s="338"/>
      <c r="DR36" s="248"/>
      <c r="DS36" s="338"/>
      <c r="DT36" s="338"/>
      <c r="DU36" s="338"/>
      <c r="DV36" s="338"/>
      <c r="DW36" s="338"/>
      <c r="DX36" s="245"/>
      <c r="DY36" s="338"/>
      <c r="DZ36" s="338"/>
      <c r="EA36" s="338"/>
    </row>
    <row r="37" spans="1:131" ht="15.75" x14ac:dyDescent="0.25">
      <c r="A37" s="250"/>
      <c r="B37" s="261"/>
      <c r="C37" s="245"/>
      <c r="D37" s="245"/>
      <c r="E37" s="245"/>
      <c r="F37" s="245"/>
      <c r="G37" s="245"/>
      <c r="H37" s="245"/>
      <c r="I37" s="245"/>
      <c r="J37" s="245"/>
      <c r="L37" s="250"/>
      <c r="M37" s="261"/>
      <c r="N37" s="245"/>
      <c r="O37" s="245"/>
      <c r="P37" s="245"/>
      <c r="Q37" s="245"/>
      <c r="R37" s="245"/>
      <c r="S37" s="245"/>
      <c r="T37" s="245"/>
      <c r="U37" s="245"/>
      <c r="W37" s="250"/>
      <c r="X37" s="261"/>
      <c r="Y37" s="245"/>
      <c r="Z37" s="245"/>
      <c r="AA37" s="245"/>
      <c r="AB37" s="245"/>
      <c r="AC37" s="245"/>
      <c r="AD37" s="245"/>
      <c r="AE37" s="245"/>
      <c r="AF37" s="245"/>
      <c r="AH37" s="250"/>
      <c r="AI37" s="261"/>
      <c r="AJ37" s="245"/>
      <c r="AK37" s="245"/>
      <c r="AL37" s="245"/>
      <c r="AM37" s="245"/>
      <c r="AN37" s="245"/>
      <c r="AO37" s="245"/>
      <c r="AP37" s="245"/>
      <c r="AQ37" s="245"/>
      <c r="AS37" s="250"/>
      <c r="AT37" s="338" t="s">
        <v>114</v>
      </c>
      <c r="AU37" s="338" t="s">
        <v>623</v>
      </c>
      <c r="AV37" s="338" t="s">
        <v>624</v>
      </c>
      <c r="AW37" s="338" t="s">
        <v>625</v>
      </c>
      <c r="AX37" s="338" t="s">
        <v>626</v>
      </c>
      <c r="AY37" s="338" t="s">
        <v>575</v>
      </c>
      <c r="AZ37" s="338" t="s">
        <v>576</v>
      </c>
      <c r="BA37" s="338" t="s">
        <v>103</v>
      </c>
      <c r="BB37" s="338" t="s">
        <v>577</v>
      </c>
      <c r="BD37" s="250"/>
      <c r="BE37" s="338" t="s">
        <v>114</v>
      </c>
      <c r="BF37" s="338" t="s">
        <v>623</v>
      </c>
      <c r="BG37" s="338" t="s">
        <v>624</v>
      </c>
      <c r="BH37" s="338" t="s">
        <v>625</v>
      </c>
      <c r="BI37" s="338" t="s">
        <v>626</v>
      </c>
      <c r="BJ37" s="338" t="s">
        <v>575</v>
      </c>
      <c r="BK37" s="338" t="s">
        <v>576</v>
      </c>
      <c r="BL37" s="338" t="s">
        <v>103</v>
      </c>
      <c r="BM37" s="338" t="s">
        <v>577</v>
      </c>
      <c r="BO37" s="250"/>
      <c r="BP37" s="338" t="s">
        <v>114</v>
      </c>
      <c r="BQ37" s="338" t="s">
        <v>623</v>
      </c>
      <c r="BR37" s="338" t="s">
        <v>624</v>
      </c>
      <c r="BS37" s="338" t="s">
        <v>625</v>
      </c>
      <c r="BT37" s="338" t="s">
        <v>626</v>
      </c>
      <c r="BU37" s="338" t="s">
        <v>575</v>
      </c>
      <c r="BV37" s="338" t="s">
        <v>576</v>
      </c>
      <c r="BW37" s="338" t="s">
        <v>103</v>
      </c>
      <c r="BX37" s="338" t="s">
        <v>577</v>
      </c>
      <c r="BZ37" s="250"/>
      <c r="CA37" s="338" t="s">
        <v>114</v>
      </c>
      <c r="CB37" s="338" t="s">
        <v>623</v>
      </c>
      <c r="CC37" s="338" t="s">
        <v>624</v>
      </c>
      <c r="CD37" s="338" t="s">
        <v>625</v>
      </c>
      <c r="CE37" s="338" t="s">
        <v>626</v>
      </c>
      <c r="CF37" s="338" t="s">
        <v>575</v>
      </c>
      <c r="CG37" s="338" t="s">
        <v>576</v>
      </c>
      <c r="CH37" s="338" t="s">
        <v>103</v>
      </c>
      <c r="CI37" s="338" t="s">
        <v>577</v>
      </c>
      <c r="CK37" s="250"/>
      <c r="CL37" s="338" t="s">
        <v>114</v>
      </c>
      <c r="CM37" s="338" t="s">
        <v>623</v>
      </c>
      <c r="CN37" s="338" t="s">
        <v>624</v>
      </c>
      <c r="CO37" s="338" t="s">
        <v>625</v>
      </c>
      <c r="CP37" s="338" t="s">
        <v>626</v>
      </c>
      <c r="CQ37" s="338" t="s">
        <v>575</v>
      </c>
      <c r="CR37" s="338" t="s">
        <v>576</v>
      </c>
      <c r="CS37" s="338" t="s">
        <v>103</v>
      </c>
      <c r="CT37" s="338" t="s">
        <v>577</v>
      </c>
      <c r="CV37" s="250" t="s">
        <v>622</v>
      </c>
      <c r="CW37" s="1037" t="s">
        <v>803</v>
      </c>
      <c r="CX37" s="1037"/>
      <c r="CY37" s="1038"/>
      <c r="CZ37" s="257">
        <v>0.97</v>
      </c>
      <c r="DA37" s="257">
        <v>1</v>
      </c>
      <c r="DB37" s="245"/>
      <c r="DC37" s="257">
        <v>3.2000000000000001E-2</v>
      </c>
      <c r="DD37" s="257">
        <v>5</v>
      </c>
      <c r="DE37" s="257">
        <f>DC37*DA37</f>
        <v>3.2000000000000001E-2</v>
      </c>
      <c r="DG37" s="250" t="s">
        <v>622</v>
      </c>
      <c r="DH37" s="1037" t="s">
        <v>802</v>
      </c>
      <c r="DI37" s="1037"/>
      <c r="DJ37" s="1038"/>
      <c r="DK37" s="257">
        <v>0.97</v>
      </c>
      <c r="DL37" s="257">
        <v>1</v>
      </c>
      <c r="DM37" s="245"/>
      <c r="DN37" s="257">
        <v>8.8999999999999996E-2</v>
      </c>
      <c r="DO37" s="257">
        <v>5</v>
      </c>
      <c r="DP37" s="257">
        <f>DN37*DL37</f>
        <v>8.8999999999999996E-2</v>
      </c>
      <c r="DR37" s="250" t="s">
        <v>622</v>
      </c>
      <c r="DS37" s="1037" t="s">
        <v>802</v>
      </c>
      <c r="DT37" s="1037"/>
      <c r="DU37" s="1038"/>
      <c r="DV37" s="257">
        <v>0.97</v>
      </c>
      <c r="DW37" s="257">
        <v>1</v>
      </c>
      <c r="DX37" s="245"/>
      <c r="DY37" s="257">
        <v>8.8999999999999996E-2</v>
      </c>
      <c r="DZ37" s="257">
        <v>5</v>
      </c>
      <c r="EA37" s="257">
        <f>DY37*DW37</f>
        <v>8.8999999999999996E-2</v>
      </c>
    </row>
    <row r="38" spans="1:131" ht="15.75" x14ac:dyDescent="0.25">
      <c r="A38" s="250"/>
      <c r="B38" s="261"/>
      <c r="C38" s="245"/>
      <c r="D38" s="245"/>
      <c r="E38" s="245"/>
      <c r="F38" s="245"/>
      <c r="G38" s="245"/>
      <c r="H38" s="245"/>
      <c r="I38" s="245"/>
      <c r="J38" s="245"/>
      <c r="L38" s="250"/>
      <c r="M38" s="261"/>
      <c r="N38" s="245"/>
      <c r="O38" s="245"/>
      <c r="P38" s="245"/>
      <c r="Q38" s="245"/>
      <c r="R38" s="245"/>
      <c r="S38" s="245"/>
      <c r="T38" s="245"/>
      <c r="U38" s="245"/>
      <c r="W38" s="250"/>
      <c r="X38" s="261"/>
      <c r="Y38" s="245"/>
      <c r="Z38" s="245"/>
      <c r="AA38" s="245"/>
      <c r="AB38" s="245"/>
      <c r="AC38" s="245"/>
      <c r="AD38" s="245"/>
      <c r="AE38" s="245"/>
      <c r="AF38" s="245"/>
      <c r="AH38" s="250"/>
      <c r="AI38" s="261"/>
      <c r="AJ38" s="245"/>
      <c r="AK38" s="245"/>
      <c r="AL38" s="245"/>
      <c r="AM38" s="245"/>
      <c r="AN38" s="245"/>
      <c r="AO38" s="245"/>
      <c r="AP38" s="245"/>
      <c r="AQ38" s="245"/>
      <c r="AS38" s="250" t="s">
        <v>628</v>
      </c>
      <c r="AT38" s="338">
        <f ca="1">MatWidth</f>
        <v>18</v>
      </c>
      <c r="AU38" s="338">
        <f ca="1">MatThickness</f>
        <v>0.25</v>
      </c>
      <c r="AV38" s="338">
        <f ca="1">MatLnFLT</f>
        <v>48</v>
      </c>
      <c r="AW38" s="338">
        <f ca="1">MatDensity</f>
        <v>0.28299999999999997</v>
      </c>
      <c r="AX38" s="338">
        <f ca="1">MatLoop</f>
        <v>282.74333882308139</v>
      </c>
      <c r="AY38" s="259">
        <f ca="1">AT38*AU38*AW38*AX38</f>
        <v>360.07364199119411</v>
      </c>
      <c r="AZ38" s="260">
        <f ca="1">((AT38*AU38*AV38*AW38)/32.3)*(((AT7*0.5)^2)/144)*12</f>
        <v>0.35484520123839008</v>
      </c>
      <c r="BA38" s="257">
        <f ca="1">Ratio</f>
        <v>11.111000000000001</v>
      </c>
      <c r="BB38" s="260">
        <f ca="1">AZ38/(BA38^2)</f>
        <v>2.8743036158158453E-3</v>
      </c>
      <c r="BD38" s="250" t="s">
        <v>628</v>
      </c>
      <c r="BE38" s="338">
        <f ca="1">MatWidth</f>
        <v>18</v>
      </c>
      <c r="BF38" s="338">
        <f ca="1">MatThickness</f>
        <v>0.25</v>
      </c>
      <c r="BG38" s="338">
        <f ca="1">MatLnFLT</f>
        <v>48</v>
      </c>
      <c r="BH38" s="338">
        <f ca="1">MatDensity</f>
        <v>0.28299999999999997</v>
      </c>
      <c r="BI38" s="338">
        <f ca="1">MatLoop</f>
        <v>282.74333882308139</v>
      </c>
      <c r="BJ38" s="259">
        <f ca="1">BE38*BF38*BH38*BI38</f>
        <v>360.07364199119411</v>
      </c>
      <c r="BK38" s="260">
        <f ca="1">((BE38*BF38*BG38*BH38)/32.3)*(((BE7*0.5)^2)/144)*12</f>
        <v>0.35484520123839008</v>
      </c>
      <c r="BL38" s="257">
        <f ca="1">Ratio</f>
        <v>11.111000000000001</v>
      </c>
      <c r="BM38" s="260">
        <f ca="1">BK38/(BL38^2)</f>
        <v>2.8743036158158453E-3</v>
      </c>
      <c r="BO38" s="250" t="s">
        <v>628</v>
      </c>
      <c r="BP38" s="338">
        <f ca="1">MatWidth</f>
        <v>18</v>
      </c>
      <c r="BQ38" s="338">
        <f ca="1">MatThickness</f>
        <v>0.25</v>
      </c>
      <c r="BR38" s="338">
        <f ca="1">MatLnFLT</f>
        <v>48</v>
      </c>
      <c r="BS38" s="338">
        <f ca="1">MatDensity</f>
        <v>0.28299999999999997</v>
      </c>
      <c r="BT38" s="338">
        <f ca="1">MatLoop</f>
        <v>282.74333882308139</v>
      </c>
      <c r="BU38" s="259">
        <f ca="1">BP38*BQ38*BS38*BT38</f>
        <v>360.07364199119411</v>
      </c>
      <c r="BV38" s="260">
        <f ca="1">((BP38*BQ38*BR38*BS38)/32.3)*(((BP7*0.5)^2)/144)*12</f>
        <v>0.63083591331269351</v>
      </c>
      <c r="BW38" s="257">
        <f ca="1">Ratio</f>
        <v>11.111000000000001</v>
      </c>
      <c r="BX38" s="260">
        <f ca="1">BV38/(BW38^2)</f>
        <v>5.1098730947837252E-3</v>
      </c>
      <c r="BZ38" s="250" t="s">
        <v>628</v>
      </c>
      <c r="CA38" s="338">
        <f ca="1">MatWidth</f>
        <v>18</v>
      </c>
      <c r="CB38" s="338">
        <f ca="1">MatThickness</f>
        <v>0.25</v>
      </c>
      <c r="CC38" s="338">
        <f ca="1">MatLnFLT</f>
        <v>48</v>
      </c>
      <c r="CD38" s="338">
        <f ca="1">MatDensity</f>
        <v>0.28299999999999997</v>
      </c>
      <c r="CE38" s="338">
        <f ca="1">MatLoop</f>
        <v>282.74333882308139</v>
      </c>
      <c r="CF38" s="259">
        <f ca="1">CA38*CB38*CD38*CE38</f>
        <v>360.07364199119411</v>
      </c>
      <c r="CG38" s="260">
        <f ca="1">((CA38*CB38*CC38*CD38)/32.3)*(((CA7*0.5)^2)/144)*12</f>
        <v>0.63083591331269351</v>
      </c>
      <c r="CH38" s="257">
        <f ca="1">Ratio</f>
        <v>11.111000000000001</v>
      </c>
      <c r="CI38" s="260">
        <f ca="1">CG38/(CH38^2)</f>
        <v>5.1098730947837252E-3</v>
      </c>
      <c r="CK38" s="250" t="s">
        <v>628</v>
      </c>
      <c r="CL38" s="338">
        <f ca="1">MatWidth</f>
        <v>18</v>
      </c>
      <c r="CM38" s="338">
        <f ca="1">MatThickness</f>
        <v>0.25</v>
      </c>
      <c r="CN38" s="338">
        <f ca="1">MatLnFLT</f>
        <v>48</v>
      </c>
      <c r="CO38" s="338">
        <f ca="1">MatDensity</f>
        <v>0.28299999999999997</v>
      </c>
      <c r="CP38" s="338">
        <f ca="1">MatLoop</f>
        <v>282.74333882308139</v>
      </c>
      <c r="CQ38" s="259">
        <f ca="1">CL38*CM38*CO38*CP38</f>
        <v>360.07364199119411</v>
      </c>
      <c r="CR38" s="260">
        <f ca="1">((CL38*CM38*CN38*CO38)/32.3)*(((CL7*0.5)^2)/144)*12</f>
        <v>0.98568111455108365</v>
      </c>
      <c r="CS38" s="257">
        <f ca="1">Ratio</f>
        <v>11.111000000000001</v>
      </c>
      <c r="CT38" s="260">
        <f ca="1">CR38/(CS38^2)</f>
        <v>7.9841767105995713E-3</v>
      </c>
      <c r="CV38" s="250"/>
      <c r="CW38" s="245"/>
      <c r="CX38" s="245"/>
      <c r="CY38" s="257"/>
      <c r="CZ38" s="245"/>
      <c r="DA38" s="245"/>
      <c r="DB38" s="245"/>
      <c r="DC38" s="245"/>
      <c r="DD38" s="245"/>
      <c r="DE38" s="245"/>
      <c r="DG38" s="250"/>
      <c r="DH38" s="245"/>
      <c r="DI38" s="245"/>
      <c r="DJ38" s="257"/>
      <c r="DK38" s="245"/>
      <c r="DL38" s="245"/>
      <c r="DM38" s="245"/>
      <c r="DN38" s="245"/>
      <c r="DO38" s="245"/>
      <c r="DP38" s="245"/>
      <c r="DR38" s="250"/>
      <c r="DS38" s="245"/>
      <c r="DT38" s="245"/>
      <c r="DU38" s="257"/>
      <c r="DV38" s="245"/>
      <c r="DW38" s="245"/>
      <c r="DX38" s="245"/>
      <c r="DY38" s="245"/>
      <c r="DZ38" s="245"/>
      <c r="EA38" s="245"/>
    </row>
    <row r="39" spans="1:131" ht="15.75" x14ac:dyDescent="0.25">
      <c r="A39" s="250"/>
      <c r="B39" s="245"/>
      <c r="C39" s="245"/>
      <c r="D39" s="245"/>
      <c r="E39" s="245"/>
      <c r="F39" s="245"/>
      <c r="G39" s="245"/>
      <c r="H39" s="245"/>
      <c r="I39" s="245"/>
      <c r="J39" s="245"/>
      <c r="L39" s="250"/>
      <c r="M39" s="245"/>
      <c r="N39" s="245"/>
      <c r="O39" s="245"/>
      <c r="P39" s="245"/>
      <c r="Q39" s="245"/>
      <c r="R39" s="245"/>
      <c r="S39" s="245"/>
      <c r="T39" s="245"/>
      <c r="U39" s="245"/>
      <c r="W39" s="250"/>
      <c r="X39" s="245"/>
      <c r="Y39" s="245"/>
      <c r="Z39" s="245"/>
      <c r="AA39" s="245"/>
      <c r="AB39" s="245"/>
      <c r="AC39" s="245"/>
      <c r="AD39" s="245"/>
      <c r="AE39" s="245"/>
      <c r="AF39" s="245"/>
      <c r="AH39" s="250"/>
      <c r="AI39" s="245"/>
      <c r="AJ39" s="245"/>
      <c r="AK39" s="245"/>
      <c r="AL39" s="245"/>
      <c r="AM39" s="245"/>
      <c r="AN39" s="245"/>
      <c r="AO39" s="245"/>
      <c r="AP39" s="245"/>
      <c r="AQ39" s="245"/>
      <c r="AS39" s="250"/>
      <c r="AT39" s="261"/>
      <c r="AU39" s="245"/>
      <c r="AV39" s="245"/>
      <c r="AW39" s="245"/>
      <c r="AX39" s="245"/>
      <c r="AY39" s="245"/>
      <c r="AZ39" s="245"/>
      <c r="BA39" s="245"/>
      <c r="BB39" s="245"/>
      <c r="BD39" s="250"/>
      <c r="BE39" s="261"/>
      <c r="BF39" s="245"/>
      <c r="BG39" s="245"/>
      <c r="BH39" s="245"/>
      <c r="BI39" s="245"/>
      <c r="BJ39" s="245"/>
      <c r="BK39" s="245"/>
      <c r="BL39" s="245"/>
      <c r="BM39" s="245"/>
      <c r="BO39" s="250"/>
      <c r="BP39" s="261"/>
      <c r="BQ39" s="245"/>
      <c r="BR39" s="245"/>
      <c r="BS39" s="245"/>
      <c r="BT39" s="245"/>
      <c r="BU39" s="245"/>
      <c r="BV39" s="245"/>
      <c r="BW39" s="245"/>
      <c r="BX39" s="245"/>
      <c r="BZ39" s="250"/>
      <c r="CA39" s="261"/>
      <c r="CB39" s="245"/>
      <c r="CC39" s="245"/>
      <c r="CD39" s="245"/>
      <c r="CE39" s="245"/>
      <c r="CF39" s="245"/>
      <c r="CG39" s="245"/>
      <c r="CH39" s="245"/>
      <c r="CI39" s="245"/>
      <c r="CK39" s="250"/>
      <c r="CL39" s="261"/>
      <c r="CM39" s="245"/>
      <c r="CN39" s="245"/>
      <c r="CO39" s="245"/>
      <c r="CP39" s="245"/>
      <c r="CQ39" s="245"/>
      <c r="CR39" s="245"/>
      <c r="CS39" s="245"/>
      <c r="CT39" s="245"/>
      <c r="CV39" s="250"/>
      <c r="CW39" s="245"/>
      <c r="CX39" s="245"/>
      <c r="CY39" s="245"/>
      <c r="CZ39" s="245"/>
      <c r="DA39" s="245"/>
      <c r="DB39" s="245"/>
      <c r="DC39" s="245"/>
      <c r="DD39" s="245"/>
      <c r="DE39" s="245"/>
      <c r="DG39" s="250"/>
      <c r="DH39" s="245"/>
      <c r="DI39" s="245"/>
      <c r="DJ39" s="245"/>
      <c r="DK39" s="245"/>
      <c r="DL39" s="245"/>
      <c r="DM39" s="245"/>
      <c r="DN39" s="245"/>
      <c r="DO39" s="245"/>
      <c r="DP39" s="245"/>
      <c r="DR39" s="250"/>
      <c r="DS39" s="245"/>
      <c r="DT39" s="245"/>
      <c r="DU39" s="245"/>
      <c r="DV39" s="245"/>
      <c r="DW39" s="245"/>
      <c r="DX39" s="245"/>
      <c r="DY39" s="245"/>
      <c r="DZ39" s="245"/>
      <c r="EA39" s="245"/>
    </row>
    <row r="40" spans="1:131" ht="15.75" x14ac:dyDescent="0.25">
      <c r="A40" s="250" t="s">
        <v>104</v>
      </c>
      <c r="B40" s="245"/>
      <c r="C40" s="245"/>
      <c r="D40" s="245"/>
      <c r="E40" s="245"/>
      <c r="F40" s="245"/>
      <c r="G40" s="245"/>
      <c r="H40" s="245"/>
      <c r="I40" s="245"/>
      <c r="J40" s="245"/>
      <c r="L40" s="250" t="s">
        <v>104</v>
      </c>
      <c r="M40" s="245"/>
      <c r="N40" s="245"/>
      <c r="O40" s="245"/>
      <c r="P40" s="245"/>
      <c r="Q40" s="245"/>
      <c r="R40" s="245"/>
      <c r="S40" s="245"/>
      <c r="T40" s="245"/>
      <c r="U40" s="245"/>
      <c r="W40" s="250" t="s">
        <v>104</v>
      </c>
      <c r="X40" s="245"/>
      <c r="Y40" s="245"/>
      <c r="Z40" s="245"/>
      <c r="AA40" s="245"/>
      <c r="AB40" s="245"/>
      <c r="AC40" s="245"/>
      <c r="AD40" s="245"/>
      <c r="AE40" s="245"/>
      <c r="AF40" s="245"/>
      <c r="AH40" s="250" t="s">
        <v>104</v>
      </c>
      <c r="AI40" s="245"/>
      <c r="AJ40" s="245"/>
      <c r="AK40" s="245"/>
      <c r="AL40" s="245"/>
      <c r="AM40" s="245"/>
      <c r="AN40" s="245"/>
      <c r="AO40" s="245"/>
      <c r="AP40" s="245"/>
      <c r="AQ40" s="245"/>
      <c r="AS40" s="250"/>
      <c r="AT40" s="261"/>
      <c r="AU40" s="245"/>
      <c r="AV40" s="245"/>
      <c r="AW40" s="245"/>
      <c r="AX40" s="245"/>
      <c r="AY40" s="245"/>
      <c r="AZ40" s="245"/>
      <c r="BA40" s="245"/>
      <c r="BB40" s="245"/>
      <c r="BD40" s="250"/>
      <c r="BE40" s="261"/>
      <c r="BF40" s="245"/>
      <c r="BG40" s="245"/>
      <c r="BH40" s="245"/>
      <c r="BI40" s="245"/>
      <c r="BJ40" s="245"/>
      <c r="BK40" s="245"/>
      <c r="BL40" s="245"/>
      <c r="BM40" s="245"/>
      <c r="BO40" s="250"/>
      <c r="BP40" s="261"/>
      <c r="BQ40" s="245"/>
      <c r="BR40" s="245"/>
      <c r="BS40" s="245"/>
      <c r="BT40" s="245"/>
      <c r="BU40" s="245"/>
      <c r="BV40" s="245"/>
      <c r="BW40" s="245"/>
      <c r="BX40" s="245"/>
      <c r="BZ40" s="250"/>
      <c r="CA40" s="261"/>
      <c r="CB40" s="245"/>
      <c r="CC40" s="245"/>
      <c r="CD40" s="245"/>
      <c r="CE40" s="245"/>
      <c r="CF40" s="245"/>
      <c r="CG40" s="245"/>
      <c r="CH40" s="245"/>
      <c r="CI40" s="245"/>
      <c r="CK40" s="250"/>
      <c r="CL40" s="261"/>
      <c r="CM40" s="245"/>
      <c r="CN40" s="245"/>
      <c r="CO40" s="245"/>
      <c r="CP40" s="245"/>
      <c r="CQ40" s="245"/>
      <c r="CR40" s="245"/>
      <c r="CS40" s="245"/>
      <c r="CT40" s="245"/>
      <c r="CV40" s="250"/>
      <c r="CW40" s="338" t="s">
        <v>114</v>
      </c>
      <c r="CX40" s="338" t="s">
        <v>623</v>
      </c>
      <c r="CY40" s="338" t="s">
        <v>624</v>
      </c>
      <c r="CZ40" s="338" t="s">
        <v>625</v>
      </c>
      <c r="DA40" s="338" t="s">
        <v>626</v>
      </c>
      <c r="DB40" s="337" t="s">
        <v>575</v>
      </c>
      <c r="DC40" s="338" t="s">
        <v>576</v>
      </c>
      <c r="DD40" s="338" t="s">
        <v>103</v>
      </c>
      <c r="DE40" s="338" t="s">
        <v>577</v>
      </c>
      <c r="DG40" s="250"/>
      <c r="DH40" s="338" t="s">
        <v>114</v>
      </c>
      <c r="DI40" s="338" t="s">
        <v>623</v>
      </c>
      <c r="DJ40" s="338" t="s">
        <v>624</v>
      </c>
      <c r="DK40" s="338" t="s">
        <v>625</v>
      </c>
      <c r="DL40" s="338" t="s">
        <v>626</v>
      </c>
      <c r="DM40" s="337" t="s">
        <v>575</v>
      </c>
      <c r="DN40" s="338" t="s">
        <v>576</v>
      </c>
      <c r="DO40" s="338" t="s">
        <v>103</v>
      </c>
      <c r="DP40" s="338" t="s">
        <v>577</v>
      </c>
      <c r="DR40" s="250"/>
      <c r="DS40" s="338" t="s">
        <v>114</v>
      </c>
      <c r="DT40" s="338" t="s">
        <v>623</v>
      </c>
      <c r="DU40" s="338" t="s">
        <v>624</v>
      </c>
      <c r="DV40" s="338" t="s">
        <v>625</v>
      </c>
      <c r="DW40" s="338" t="s">
        <v>626</v>
      </c>
      <c r="DX40" s="337" t="s">
        <v>575</v>
      </c>
      <c r="DY40" s="338" t="s">
        <v>576</v>
      </c>
      <c r="DZ40" s="338" t="s">
        <v>103</v>
      </c>
      <c r="EA40" s="338" t="s">
        <v>577</v>
      </c>
    </row>
    <row r="41" spans="1:131" ht="15.75" x14ac:dyDescent="0.25">
      <c r="A41" s="250" t="s">
        <v>577</v>
      </c>
      <c r="B41" s="262">
        <f ca="1">SUM(J7:J36)</f>
        <v>5.5498923780255404E-3</v>
      </c>
      <c r="C41" s="245"/>
      <c r="D41" s="245"/>
      <c r="E41" s="245"/>
      <c r="F41" s="245"/>
      <c r="G41" s="245"/>
      <c r="H41" s="245"/>
      <c r="I41" s="245"/>
      <c r="J41" s="245"/>
      <c r="L41" s="250" t="s">
        <v>577</v>
      </c>
      <c r="M41" s="262">
        <f ca="1">SUM(U7:U36)</f>
        <v>4.6083477729634507E-3</v>
      </c>
      <c r="N41" s="245"/>
      <c r="O41" s="245"/>
      <c r="P41" s="245"/>
      <c r="Q41" s="245"/>
      <c r="R41" s="245"/>
      <c r="S41" s="245"/>
      <c r="T41" s="245"/>
      <c r="U41" s="245"/>
      <c r="W41" s="250" t="s">
        <v>577</v>
      </c>
      <c r="X41" s="262">
        <f ca="1">SUM(AF7:AF36)</f>
        <v>7.8768931447615129E-3</v>
      </c>
      <c r="Y41" s="245"/>
      <c r="Z41" s="245"/>
      <c r="AA41" s="245"/>
      <c r="AB41" s="245"/>
      <c r="AC41" s="245"/>
      <c r="AD41" s="245"/>
      <c r="AE41" s="245"/>
      <c r="AF41" s="245"/>
      <c r="AH41" s="250" t="s">
        <v>577</v>
      </c>
      <c r="AI41" s="262">
        <f ca="1">SUM(AQ7:AQ36)</f>
        <v>8.8972682694678368E-3</v>
      </c>
      <c r="AJ41" s="245"/>
      <c r="AK41" s="245"/>
      <c r="AL41" s="245"/>
      <c r="AM41" s="245"/>
      <c r="AN41" s="245"/>
      <c r="AO41" s="245"/>
      <c r="AP41" s="245"/>
      <c r="AQ41" s="245"/>
      <c r="AS41" s="250"/>
      <c r="AT41" s="245"/>
      <c r="AU41" s="245"/>
      <c r="AV41" s="245"/>
      <c r="AW41" s="245"/>
      <c r="AX41" s="245"/>
      <c r="AY41" s="245"/>
      <c r="AZ41" s="245"/>
      <c r="BA41" s="245"/>
      <c r="BB41" s="245"/>
      <c r="BD41" s="250"/>
      <c r="BE41" s="245"/>
      <c r="BF41" s="245"/>
      <c r="BG41" s="245"/>
      <c r="BH41" s="245"/>
      <c r="BI41" s="245"/>
      <c r="BJ41" s="245"/>
      <c r="BK41" s="245"/>
      <c r="BL41" s="245"/>
      <c r="BM41" s="245"/>
      <c r="BO41" s="250"/>
      <c r="BP41" s="245"/>
      <c r="BQ41" s="245"/>
      <c r="BR41" s="245"/>
      <c r="BS41" s="245"/>
      <c r="BT41" s="245"/>
      <c r="BU41" s="245"/>
      <c r="BV41" s="245"/>
      <c r="BW41" s="245"/>
      <c r="BX41" s="245"/>
      <c r="BZ41" s="250"/>
      <c r="CA41" s="245"/>
      <c r="CB41" s="245"/>
      <c r="CC41" s="245"/>
      <c r="CD41" s="245"/>
      <c r="CE41" s="245"/>
      <c r="CF41" s="245"/>
      <c r="CG41" s="245"/>
      <c r="CH41" s="245"/>
      <c r="CI41" s="245"/>
      <c r="CK41" s="250"/>
      <c r="CL41" s="245"/>
      <c r="CM41" s="245"/>
      <c r="CN41" s="245"/>
      <c r="CO41" s="245"/>
      <c r="CP41" s="245"/>
      <c r="CQ41" s="245"/>
      <c r="CR41" s="245"/>
      <c r="CS41" s="245"/>
      <c r="CT41" s="245"/>
      <c r="CV41" s="250" t="s">
        <v>628</v>
      </c>
      <c r="CW41" s="338">
        <f ca="1">MatWidth</f>
        <v>18</v>
      </c>
      <c r="CX41" s="338">
        <f ca="1">MatThickness</f>
        <v>0.25</v>
      </c>
      <c r="CY41" s="338">
        <f ca="1">MatLnFLT</f>
        <v>48</v>
      </c>
      <c r="CZ41" s="338">
        <f ca="1">MatDensity</f>
        <v>0.28299999999999997</v>
      </c>
      <c r="DA41" s="338">
        <f ca="1">MatLoop</f>
        <v>282.74333882308139</v>
      </c>
      <c r="DB41" s="350">
        <f ca="1">CW41*CX41*CZ41*DA41</f>
        <v>360.07364199119411</v>
      </c>
      <c r="DC41" s="260">
        <f ca="1">((CW41*CX41*CY41*CZ41)/32.3)*(((CW6*0.5)^2)/144)*12</f>
        <v>1.4193808049535603</v>
      </c>
      <c r="DD41" s="257">
        <f ca="1">Ratio</f>
        <v>11.111000000000001</v>
      </c>
      <c r="DE41" s="260">
        <f ca="1">DC41/(Ratio^2)</f>
        <v>1.1497214463263381E-2</v>
      </c>
      <c r="DG41" s="250" t="s">
        <v>628</v>
      </c>
      <c r="DH41" s="338">
        <f ca="1">MatWidth</f>
        <v>18</v>
      </c>
      <c r="DI41" s="338">
        <f ca="1">MatThickness</f>
        <v>0.25</v>
      </c>
      <c r="DJ41" s="338">
        <f ca="1">MatLnFLT</f>
        <v>48</v>
      </c>
      <c r="DK41" s="338">
        <f ca="1">MatDensity</f>
        <v>0.28299999999999997</v>
      </c>
      <c r="DL41" s="338">
        <f ca="1">MatLoop</f>
        <v>282.74333882308139</v>
      </c>
      <c r="DM41" s="350">
        <f ca="1">DH41*DI41*DK41*DL41</f>
        <v>360.07364199119411</v>
      </c>
      <c r="DN41" s="260">
        <f ca="1">((DH41*DI41*DJ41*DK41)/32.3)*(((DH6*0.5)^2)/144)*12</f>
        <v>1.9319349845201239</v>
      </c>
      <c r="DO41" s="257">
        <f ca="1">Ratio</f>
        <v>11.111000000000001</v>
      </c>
      <c r="DP41" s="260">
        <f ca="1">DN41/(Ratio^2)</f>
        <v>1.5648986352775156E-2</v>
      </c>
      <c r="DR41" s="250" t="s">
        <v>628</v>
      </c>
      <c r="DS41" s="338">
        <f ca="1">MatWidth</f>
        <v>18</v>
      </c>
      <c r="DT41" s="338">
        <f ca="1">MatThickness</f>
        <v>0.25</v>
      </c>
      <c r="DU41" s="338">
        <f ca="1">MatLnFLT</f>
        <v>48</v>
      </c>
      <c r="DV41" s="338">
        <f ca="1">MatDensity</f>
        <v>0.28299999999999997</v>
      </c>
      <c r="DW41" s="338">
        <f ca="1">MatLoop</f>
        <v>282.74333882308139</v>
      </c>
      <c r="DX41" s="350">
        <f ca="1">DS41*DT41*DV41*DW41</f>
        <v>360.07364199119411</v>
      </c>
      <c r="DY41" s="260">
        <f ca="1">((DS41*DT41*DU41*DV41)/32.3)*(((DS6*0.5)^2)/144)*12</f>
        <v>2.523343653250774</v>
      </c>
      <c r="DZ41" s="257">
        <f ca="1">Ratio</f>
        <v>11.111000000000001</v>
      </c>
      <c r="EA41" s="260">
        <f ca="1">DY41/(Ratio^2)</f>
        <v>2.0439492379134901E-2</v>
      </c>
    </row>
    <row r="42" spans="1:131" ht="15.75" x14ac:dyDescent="0.25">
      <c r="AS42" s="250" t="s">
        <v>104</v>
      </c>
      <c r="AT42" s="245"/>
      <c r="AU42" s="245"/>
      <c r="AV42" s="245"/>
      <c r="AW42" s="245"/>
      <c r="AX42" s="245"/>
      <c r="AY42" s="245"/>
      <c r="AZ42" s="245"/>
      <c r="BA42" s="245"/>
      <c r="BB42" s="245"/>
      <c r="BD42" s="250" t="s">
        <v>104</v>
      </c>
      <c r="BE42" s="245"/>
      <c r="BF42" s="245"/>
      <c r="BG42" s="245"/>
      <c r="BH42" s="245"/>
      <c r="BI42" s="245"/>
      <c r="BJ42" s="245"/>
      <c r="BK42" s="245"/>
      <c r="BL42" s="245"/>
      <c r="BM42" s="245"/>
      <c r="BO42" s="250" t="s">
        <v>104</v>
      </c>
      <c r="BP42" s="245"/>
      <c r="BQ42" s="245"/>
      <c r="BR42" s="245"/>
      <c r="BS42" s="245"/>
      <c r="BT42" s="245"/>
      <c r="BU42" s="245"/>
      <c r="BV42" s="245"/>
      <c r="BW42" s="245"/>
      <c r="BX42" s="245"/>
      <c r="BZ42" s="250" t="s">
        <v>104</v>
      </c>
      <c r="CA42" s="245"/>
      <c r="CB42" s="245"/>
      <c r="CC42" s="245"/>
      <c r="CD42" s="245"/>
      <c r="CE42" s="245"/>
      <c r="CF42" s="245"/>
      <c r="CG42" s="245"/>
      <c r="CH42" s="245"/>
      <c r="CI42" s="245"/>
      <c r="CK42" s="250" t="s">
        <v>104</v>
      </c>
      <c r="CL42" s="245"/>
      <c r="CM42" s="245"/>
      <c r="CN42" s="245"/>
      <c r="CO42" s="245"/>
      <c r="CP42" s="245"/>
      <c r="CQ42" s="245"/>
      <c r="CR42" s="245"/>
      <c r="CS42" s="245"/>
      <c r="CT42" s="245"/>
      <c r="CV42" s="250"/>
      <c r="CW42" s="261"/>
      <c r="CX42" s="245"/>
      <c r="CY42" s="245"/>
      <c r="CZ42" s="245"/>
      <c r="DA42" s="245"/>
      <c r="DB42" s="245"/>
      <c r="DC42" s="245"/>
      <c r="DD42" s="245"/>
      <c r="DE42" s="245"/>
      <c r="DG42" s="250"/>
      <c r="DH42" s="261"/>
      <c r="DI42" s="245"/>
      <c r="DJ42" s="245"/>
      <c r="DK42" s="245"/>
      <c r="DL42" s="245"/>
      <c r="DM42" s="245"/>
      <c r="DN42" s="245"/>
      <c r="DO42" s="245"/>
      <c r="DP42" s="245"/>
      <c r="DR42" s="250"/>
      <c r="DS42" s="261"/>
      <c r="DT42" s="245"/>
      <c r="DU42" s="245"/>
      <c r="DV42" s="245"/>
      <c r="DW42" s="245"/>
      <c r="DX42" s="245"/>
      <c r="DY42" s="245"/>
      <c r="DZ42" s="245"/>
      <c r="EA42" s="245"/>
    </row>
    <row r="43" spans="1:131" ht="15.75" x14ac:dyDescent="0.25">
      <c r="AS43" s="250" t="s">
        <v>577</v>
      </c>
      <c r="AT43" s="262">
        <f ca="1">SUM(BB7:BB38)</f>
        <v>2.0191940569855703E-2</v>
      </c>
      <c r="AU43" s="245"/>
      <c r="AV43" s="245"/>
      <c r="AW43" s="245"/>
      <c r="AX43" s="245"/>
      <c r="AY43" s="245"/>
      <c r="AZ43" s="245"/>
      <c r="BA43" s="245"/>
      <c r="BB43" s="245"/>
      <c r="BD43" s="250" t="s">
        <v>577</v>
      </c>
      <c r="BE43" s="262">
        <f ca="1">SUM(BM7:BM38)</f>
        <v>2.6604421233096549E-2</v>
      </c>
      <c r="BF43" s="245"/>
      <c r="BG43" s="245"/>
      <c r="BH43" s="245"/>
      <c r="BI43" s="245"/>
      <c r="BJ43" s="245"/>
      <c r="BK43" s="245"/>
      <c r="BL43" s="245"/>
      <c r="BM43" s="245"/>
      <c r="BO43" s="250" t="s">
        <v>577</v>
      </c>
      <c r="BP43" s="262">
        <f ca="1">SUM(BX7:BX38)</f>
        <v>3.3323144890985458E-2</v>
      </c>
      <c r="BQ43" s="245"/>
      <c r="BR43" s="245"/>
      <c r="BS43" s="245"/>
      <c r="BT43" s="245"/>
      <c r="BU43" s="245"/>
      <c r="BV43" s="245"/>
      <c r="BW43" s="245"/>
      <c r="BX43" s="245"/>
      <c r="BZ43" s="250" t="s">
        <v>577</v>
      </c>
      <c r="CA43" s="262">
        <f ca="1">SUM(CI7:CI38)</f>
        <v>3.9710004506884271E-2</v>
      </c>
      <c r="CB43" s="245"/>
      <c r="CC43" s="245"/>
      <c r="CD43" s="245"/>
      <c r="CE43" s="245"/>
      <c r="CF43" s="245"/>
      <c r="CG43" s="245"/>
      <c r="CH43" s="245"/>
      <c r="CI43" s="245"/>
      <c r="CK43" s="250" t="s">
        <v>577</v>
      </c>
      <c r="CL43" s="262">
        <f ca="1">SUM(CT7:CT38)</f>
        <v>0.11464869547191876</v>
      </c>
      <c r="CM43" s="245"/>
      <c r="CN43" s="245"/>
      <c r="CO43" s="245"/>
      <c r="CP43" s="245"/>
      <c r="CQ43" s="245"/>
      <c r="CR43" s="245"/>
      <c r="CS43" s="245"/>
      <c r="CT43" s="245"/>
      <c r="CV43" s="250"/>
      <c r="CW43" s="261"/>
      <c r="CX43" s="245"/>
      <c r="CY43" s="245"/>
      <c r="CZ43" s="245"/>
      <c r="DA43" s="245"/>
      <c r="DB43" s="245"/>
      <c r="DC43" s="245"/>
      <c r="DD43" s="245"/>
      <c r="DE43" s="245"/>
      <c r="DG43" s="250"/>
      <c r="DH43" s="261"/>
      <c r="DI43" s="245"/>
      <c r="DJ43" s="245"/>
      <c r="DK43" s="245"/>
      <c r="DL43" s="245"/>
      <c r="DM43" s="245"/>
      <c r="DN43" s="245"/>
      <c r="DO43" s="245"/>
      <c r="DP43" s="245"/>
      <c r="DR43" s="250"/>
      <c r="DS43" s="261"/>
      <c r="DT43" s="245"/>
      <c r="DU43" s="245"/>
      <c r="DV43" s="245"/>
      <c r="DW43" s="245"/>
      <c r="DX43" s="245"/>
      <c r="DY43" s="245"/>
      <c r="DZ43" s="245"/>
      <c r="EA43" s="245"/>
    </row>
    <row r="44" spans="1:131" ht="15.75" x14ac:dyDescent="0.25">
      <c r="CV44" s="250"/>
      <c r="CW44" s="245"/>
      <c r="CX44" s="245"/>
      <c r="CY44" s="245"/>
      <c r="CZ44" s="245"/>
      <c r="DA44" s="245"/>
      <c r="DB44" s="245"/>
      <c r="DC44" s="245"/>
      <c r="DD44" s="245"/>
      <c r="DE44" s="245"/>
      <c r="DG44" s="250"/>
      <c r="DH44" s="245"/>
      <c r="DI44" s="245"/>
      <c r="DJ44" s="245"/>
      <c r="DK44" s="245"/>
      <c r="DL44" s="245"/>
      <c r="DM44" s="245"/>
      <c r="DN44" s="245"/>
      <c r="DO44" s="245"/>
      <c r="DP44" s="245"/>
      <c r="DR44" s="250"/>
      <c r="DS44" s="245"/>
      <c r="DT44" s="245"/>
      <c r="DU44" s="245"/>
      <c r="DV44" s="245"/>
      <c r="DW44" s="245"/>
      <c r="DX44" s="245"/>
      <c r="DY44" s="245"/>
      <c r="DZ44" s="245"/>
      <c r="EA44" s="245"/>
    </row>
    <row r="45" spans="1:131" ht="15.75" x14ac:dyDescent="0.25">
      <c r="A45" s="600" t="s">
        <v>979</v>
      </c>
      <c r="B45" s="600"/>
      <c r="CV45" s="250" t="s">
        <v>104</v>
      </c>
      <c r="CW45" s="245"/>
      <c r="CX45" s="245"/>
      <c r="CY45" s="245"/>
      <c r="CZ45" s="245"/>
      <c r="DA45" s="245"/>
      <c r="DB45" s="245"/>
      <c r="DC45" s="245"/>
      <c r="DD45" s="245"/>
      <c r="DE45" s="245"/>
      <c r="DG45" s="250" t="s">
        <v>104</v>
      </c>
      <c r="DH45" s="245"/>
      <c r="DI45" s="245"/>
      <c r="DJ45" s="245"/>
      <c r="DK45" s="245"/>
      <c r="DL45" s="245"/>
      <c r="DM45" s="245"/>
      <c r="DN45" s="245"/>
      <c r="DO45" s="245"/>
      <c r="DP45" s="245"/>
      <c r="DR45" s="250" t="s">
        <v>104</v>
      </c>
      <c r="DS45" s="245"/>
      <c r="DT45" s="245"/>
      <c r="DU45" s="245"/>
      <c r="DV45" s="245"/>
      <c r="DW45" s="245"/>
      <c r="DX45" s="245"/>
      <c r="DY45" s="245"/>
      <c r="DZ45" s="245"/>
      <c r="EA45" s="245"/>
    </row>
    <row r="46" spans="1:131" ht="15.75" x14ac:dyDescent="0.25">
      <c r="A46" s="600" t="s">
        <v>825</v>
      </c>
      <c r="B46" s="600"/>
      <c r="CV46" s="250" t="s">
        <v>577</v>
      </c>
      <c r="CW46" s="256">
        <f ca="1">SUM(DE6:DE41)</f>
        <v>0.13356352268496202</v>
      </c>
      <c r="CX46" s="245"/>
      <c r="CY46" s="245"/>
      <c r="CZ46" s="245"/>
      <c r="DA46" s="245"/>
      <c r="DB46" s="245"/>
      <c r="DC46" s="245"/>
      <c r="DD46" s="245"/>
      <c r="DE46" s="245"/>
      <c r="DG46" s="250" t="s">
        <v>577</v>
      </c>
      <c r="DH46" s="351">
        <f ca="1">SUM(DP6:DP41)</f>
        <v>0.25851870675370164</v>
      </c>
      <c r="DI46" s="245"/>
      <c r="DJ46" s="245"/>
      <c r="DK46" s="245"/>
      <c r="DL46" s="245"/>
      <c r="DM46" s="245"/>
      <c r="DN46" s="245"/>
      <c r="DO46" s="245"/>
      <c r="DP46" s="245"/>
      <c r="DR46" s="250" t="s">
        <v>577</v>
      </c>
      <c r="DS46" s="351">
        <f ca="1">SUM(EA6:EA41)</f>
        <v>0.38829935030184659</v>
      </c>
      <c r="DT46" s="245"/>
      <c r="DU46" s="245"/>
      <c r="DV46" s="245"/>
      <c r="DW46" s="245"/>
      <c r="DX46" s="245"/>
      <c r="DY46" s="245"/>
      <c r="DZ46" s="245"/>
      <c r="EA46" s="245"/>
    </row>
    <row r="47" spans="1:131" x14ac:dyDescent="0.25">
      <c r="A47" s="600" t="s">
        <v>447</v>
      </c>
      <c r="B47" s="600">
        <f ca="1">INDIRECT("'" &amp; A$46 &amp; "'!" &amp; A47)</f>
        <v>42</v>
      </c>
    </row>
    <row r="48" spans="1:131" x14ac:dyDescent="0.25">
      <c r="A48" s="600" t="s">
        <v>224</v>
      </c>
      <c r="B48" s="600">
        <f t="shared" ref="B48:B54" ca="1" si="4">INDIRECT("'" &amp; A$46 &amp; "'!" &amp; A48)</f>
        <v>11.111000000000001</v>
      </c>
    </row>
    <row r="49" spans="1:2" x14ac:dyDescent="0.25">
      <c r="A49" s="600" t="s">
        <v>980</v>
      </c>
      <c r="B49" s="600">
        <f t="shared" ca="1" si="4"/>
        <v>18</v>
      </c>
    </row>
    <row r="50" spans="1:2" x14ac:dyDescent="0.25">
      <c r="A50" s="600" t="s">
        <v>982</v>
      </c>
      <c r="B50" s="600">
        <f t="shared" ca="1" si="4"/>
        <v>0.25</v>
      </c>
    </row>
    <row r="51" spans="1:2" x14ac:dyDescent="0.25">
      <c r="A51" s="600" t="s">
        <v>984</v>
      </c>
      <c r="B51" s="600">
        <f t="shared" ca="1" si="4"/>
        <v>48</v>
      </c>
    </row>
    <row r="52" spans="1:2" x14ac:dyDescent="0.25">
      <c r="A52" s="600" t="s">
        <v>983</v>
      </c>
      <c r="B52" s="600">
        <f t="shared" ca="1" si="4"/>
        <v>0.28299999999999997</v>
      </c>
    </row>
    <row r="53" spans="1:2" x14ac:dyDescent="0.25">
      <c r="A53" s="600" t="s">
        <v>981</v>
      </c>
      <c r="B53" s="600">
        <f t="shared" ca="1" si="4"/>
        <v>282.74333882308139</v>
      </c>
    </row>
    <row r="54" spans="1:2" x14ac:dyDescent="0.25">
      <c r="A54" s="600" t="s">
        <v>988</v>
      </c>
      <c r="B54" s="600" t="str">
        <f t="shared" ca="1" si="4"/>
        <v>Y</v>
      </c>
    </row>
  </sheetData>
  <sheetProtection selectLockedCells="1"/>
  <mergeCells count="3">
    <mergeCell ref="CW37:CY37"/>
    <mergeCell ref="DH37:DJ37"/>
    <mergeCell ref="DS37:DU37"/>
  </mergeCell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7B301-FD12-495A-909D-0F8DA426B072}">
  <sheetPr codeName="Sheet19">
    <tabColor rgb="FFFF0000"/>
  </sheetPr>
  <dimension ref="A1:S66"/>
  <sheetViews>
    <sheetView topLeftCell="A34" workbookViewId="0">
      <selection activeCell="D31" sqref="D31"/>
    </sheetView>
  </sheetViews>
  <sheetFormatPr defaultRowHeight="15" x14ac:dyDescent="0.25"/>
  <cols>
    <col min="1" max="1" width="13.7109375" customWidth="1"/>
    <col min="2" max="2" width="11.85546875" bestFit="1" customWidth="1"/>
  </cols>
  <sheetData>
    <row r="1" spans="1:19" x14ac:dyDescent="0.25">
      <c r="D1" t="s">
        <v>629</v>
      </c>
      <c r="M1" t="s">
        <v>435</v>
      </c>
    </row>
    <row r="2" spans="1:19" ht="15.75" thickBot="1" x14ac:dyDescent="0.3"/>
    <row r="3" spans="1:19" ht="15.75" thickBot="1" x14ac:dyDescent="0.3">
      <c r="A3" s="352" t="s">
        <v>123</v>
      </c>
      <c r="B3" s="353">
        <f ca="1">((vel/ACCEL)*vel)*12</f>
        <v>10.659385939829363</v>
      </c>
      <c r="C3" s="354">
        <f ca="1">MINLN</f>
        <v>4</v>
      </c>
      <c r="D3" s="354">
        <f t="shared" ref="D3:I3" ca="1" si="0">C3+INCR</f>
        <v>8</v>
      </c>
      <c r="E3" s="354">
        <f t="shared" ca="1" si="0"/>
        <v>12</v>
      </c>
      <c r="F3" s="354">
        <f t="shared" ca="1" si="0"/>
        <v>16</v>
      </c>
      <c r="G3" s="354">
        <f t="shared" ca="1" si="0"/>
        <v>20</v>
      </c>
      <c r="H3" s="354">
        <f t="shared" ca="1" si="0"/>
        <v>24</v>
      </c>
      <c r="I3" s="354">
        <f t="shared" ca="1" si="0"/>
        <v>28</v>
      </c>
      <c r="K3" s="352" t="s">
        <v>123</v>
      </c>
      <c r="L3" s="353">
        <f ca="1">((vel/ACCEL)*vel)*12</f>
        <v>10.659385939829363</v>
      </c>
      <c r="M3" s="354">
        <f ca="1">MINLN</f>
        <v>4</v>
      </c>
      <c r="N3" s="354">
        <f t="shared" ref="N3:S3" ca="1" si="1">M3+INCR</f>
        <v>8</v>
      </c>
      <c r="O3" s="354">
        <f t="shared" ca="1" si="1"/>
        <v>12</v>
      </c>
      <c r="P3" s="354">
        <f t="shared" ca="1" si="1"/>
        <v>16</v>
      </c>
      <c r="Q3" s="354">
        <f t="shared" ca="1" si="1"/>
        <v>20</v>
      </c>
      <c r="R3" s="354">
        <f t="shared" ca="1" si="1"/>
        <v>24</v>
      </c>
      <c r="S3" s="354">
        <f t="shared" ca="1" si="1"/>
        <v>28</v>
      </c>
    </row>
    <row r="4" spans="1:19" ht="15.75" thickBot="1" x14ac:dyDescent="0.3">
      <c r="A4" s="352" t="s">
        <v>630</v>
      </c>
      <c r="B4" s="355">
        <f ca="1">SQRT((((PEAKTQ^2)*ACCTM)+((ACCTQ^2)*ACCTM)+(((FRICTQ+LOOPTQ)^2)*B5)+((SETTQ^2)*SETTM)+((LOOPTQ^2)*DWLTM))/CYCTM)</f>
        <v>411.66289519083347</v>
      </c>
      <c r="C4" s="356">
        <f t="shared" ref="C4:I4" ca="1" si="2">SQRT((((PEAKTQ^2)*C7)+((ACCTQ^2)*C7)+(((FRICTQ+LOOPTQ)^2)*C5)+((SETTQ^2)*SETTM)+((LOOPTQ^2)*C6))/C9)</f>
        <v>401.25205940045947</v>
      </c>
      <c r="D4" s="356">
        <f t="shared" ca="1" si="2"/>
        <v>409.04603144934867</v>
      </c>
      <c r="E4" s="356">
        <f t="shared" ca="1" si="2"/>
        <v>400.72751046361287</v>
      </c>
      <c r="F4" s="356">
        <f t="shared" ca="1" si="2"/>
        <v>372.85240525505816</v>
      </c>
      <c r="G4" s="356">
        <f t="shared" ca="1" si="2"/>
        <v>350.34371858658898</v>
      </c>
      <c r="H4" s="356">
        <f t="shared" ca="1" si="2"/>
        <v>331.68788365776408</v>
      </c>
      <c r="I4" s="357">
        <f t="shared" ca="1" si="2"/>
        <v>315.90784656770461</v>
      </c>
      <c r="K4" s="352" t="s">
        <v>630</v>
      </c>
      <c r="L4" s="355">
        <f ca="1">SQRT((((PEAKTQ^2)*ACCTM_2)+((ACCTQ^2)*ACCTM_2)+(((FRICTQ+LOOPTQ)^2)*L5)+((SETTQ^2)*SETTM)+((LOOPTQ^2)*DWLTM_2))/CYCTM_2)</f>
        <v>473.77936174820201</v>
      </c>
      <c r="M4" s="356">
        <f t="shared" ref="M4:S4" ca="1" si="3">SQRT((((PEAKTQ^2)*M7)+((ACCTQ^2)*M7)+(((FRICTQ+LOOPTQ)^2)*M5)+((SETTQ^2)*SETTM)+((LOOPTQ^2)*M6))/M9)</f>
        <v>461.7171408414622</v>
      </c>
      <c r="N4" s="356">
        <f t="shared" ca="1" si="3"/>
        <v>470.74760297702727</v>
      </c>
      <c r="O4" s="356">
        <f t="shared" ca="1" si="3"/>
        <v>461.10933060662319</v>
      </c>
      <c r="P4" s="356">
        <f t="shared" ca="1" si="3"/>
        <v>428.80102540530891</v>
      </c>
      <c r="Q4" s="356">
        <f t="shared" ca="1" si="3"/>
        <v>402.69847212702484</v>
      </c>
      <c r="R4" s="356">
        <f t="shared" ca="1" si="3"/>
        <v>381.05235966092215</v>
      </c>
      <c r="S4" s="357">
        <f t="shared" ca="1" si="3"/>
        <v>362.73331059249858</v>
      </c>
    </row>
    <row r="5" spans="1:19" ht="15.75" thickBot="1" x14ac:dyDescent="0.3">
      <c r="A5" s="352" t="s">
        <v>631</v>
      </c>
      <c r="B5" s="358">
        <f ca="1">IF(((ALLACC-((MPEAK*ACCTM)*12))/12)/MPEAK&gt;0,((ALLACC-((MPEAK*ACCTM)*12))/12)/MPEAK,0)</f>
        <v>0</v>
      </c>
      <c r="C5" s="50">
        <f t="shared" ref="C5:I5" ca="1" si="4">IF(C3&gt;ALLACC,((C3-ALLACC)/12)/vel,0)</f>
        <v>0</v>
      </c>
      <c r="D5" s="50">
        <f t="shared" ca="1" si="4"/>
        <v>0</v>
      </c>
      <c r="E5" s="50">
        <f t="shared" ca="1" si="4"/>
        <v>2.3707024533456435E-2</v>
      </c>
      <c r="F5" s="50">
        <f t="shared" ca="1" si="4"/>
        <v>9.4441847441218418E-2</v>
      </c>
      <c r="G5" s="50">
        <f t="shared" ca="1" si="4"/>
        <v>0.16517667034898037</v>
      </c>
      <c r="H5" s="50">
        <f t="shared" ca="1" si="4"/>
        <v>0.23591149325674232</v>
      </c>
      <c r="I5" s="359">
        <f t="shared" ca="1" si="4"/>
        <v>0.30664631616450433</v>
      </c>
      <c r="K5" s="352" t="s">
        <v>631</v>
      </c>
      <c r="L5" s="358">
        <f ca="1">IF(((ALLACC_2-((MPEAK*ACCTM_2)*12))/12)/MPEAK&gt;0,((ALLACC_2-((MPEAK*ACCTM_2)*12))/12)/MPEAK,0)</f>
        <v>0</v>
      </c>
      <c r="M5" s="50">
        <f t="shared" ref="M5:S5" ca="1" si="5">IF(M3&gt;ALLACC_2,((M3-ALLACC_2)/12)/vel,0)</f>
        <v>0</v>
      </c>
      <c r="N5" s="50">
        <f t="shared" ca="1" si="5"/>
        <v>0</v>
      </c>
      <c r="O5" s="50">
        <f t="shared" ca="1" si="5"/>
        <v>2.3707024533456435E-2</v>
      </c>
      <c r="P5" s="50">
        <f t="shared" ca="1" si="5"/>
        <v>9.4441847441218418E-2</v>
      </c>
      <c r="Q5" s="50">
        <f t="shared" ca="1" si="5"/>
        <v>0.16517667034898037</v>
      </c>
      <c r="R5" s="50">
        <f t="shared" ca="1" si="5"/>
        <v>0.23591149325674232</v>
      </c>
      <c r="S5" s="50">
        <f t="shared" ca="1" si="5"/>
        <v>0.30664631616450433</v>
      </c>
    </row>
    <row r="6" spans="1:19" ht="15.75" thickBot="1" x14ac:dyDescent="0.3">
      <c r="A6" s="352" t="s">
        <v>632</v>
      </c>
      <c r="B6" s="360">
        <f ca="1">CYCTM-MOVTM</f>
        <v>0.41199488837965892</v>
      </c>
      <c r="C6" s="55">
        <f t="shared" ref="C6:I6" ca="1" si="6">C9-C8</f>
        <v>0.2659401076758503</v>
      </c>
      <c r="D6" s="55">
        <f t="shared" ca="1" si="6"/>
        <v>0.36159863237109036</v>
      </c>
      <c r="E6" s="55">
        <f t="shared" ca="1" si="6"/>
        <v>0.43570191291311533</v>
      </c>
      <c r="F6" s="55">
        <f t="shared" ca="1" si="6"/>
        <v>0.50643673582087734</v>
      </c>
      <c r="G6" s="55">
        <f t="shared" ca="1" si="6"/>
        <v>0.57717155872863934</v>
      </c>
      <c r="H6" s="55">
        <f t="shared" ca="1" si="6"/>
        <v>0.64790638163640135</v>
      </c>
      <c r="I6" s="206">
        <f t="shared" ca="1" si="6"/>
        <v>0.71864120454416336</v>
      </c>
      <c r="K6" s="352" t="s">
        <v>632</v>
      </c>
      <c r="L6" s="360">
        <f ca="1">CYCTM_2-MOVTM_2</f>
        <v>0.20599744418982946</v>
      </c>
      <c r="M6" s="55">
        <f t="shared" ref="M6:S6" ca="1" si="7">M9-M8</f>
        <v>0.13297005383792515</v>
      </c>
      <c r="N6" s="55">
        <f t="shared" ca="1" si="7"/>
        <v>0.18079931618554512</v>
      </c>
      <c r="O6" s="55">
        <f t="shared" ca="1" si="7"/>
        <v>0.21785095645655772</v>
      </c>
      <c r="P6" s="55">
        <f t="shared" ca="1" si="7"/>
        <v>0.25321836791043861</v>
      </c>
      <c r="Q6" s="55">
        <f t="shared" ca="1" si="7"/>
        <v>0.28858577936431973</v>
      </c>
      <c r="R6" s="55">
        <f t="shared" ca="1" si="7"/>
        <v>0.32395319081820062</v>
      </c>
      <c r="S6" s="206">
        <f t="shared" ca="1" si="7"/>
        <v>0.35932060227208173</v>
      </c>
    </row>
    <row r="7" spans="1:19" ht="15.75" thickBot="1" x14ac:dyDescent="0.3">
      <c r="A7" s="352" t="s">
        <v>85</v>
      </c>
      <c r="B7" s="360">
        <f ca="1">vel/ACCEL</f>
        <v>0.18849744418982947</v>
      </c>
      <c r="C7" s="55">
        <f t="shared" ref="C7:I7" ca="1" si="8">IF(C3&gt;ALLACC,ACCTM,SQRT((C3/12)/ACCEL))</f>
        <v>0.11547005383792515</v>
      </c>
      <c r="D7" s="55">
        <f t="shared" ca="1" si="8"/>
        <v>0.16329931618554519</v>
      </c>
      <c r="E7" s="55">
        <f t="shared" ca="1" si="8"/>
        <v>0.18849744418982947</v>
      </c>
      <c r="F7" s="55">
        <f t="shared" ca="1" si="8"/>
        <v>0.18849744418982947</v>
      </c>
      <c r="G7" s="55">
        <f t="shared" ca="1" si="8"/>
        <v>0.18849744418982947</v>
      </c>
      <c r="H7" s="55">
        <f t="shared" ca="1" si="8"/>
        <v>0.18849744418982947</v>
      </c>
      <c r="I7" s="206">
        <f t="shared" ca="1" si="8"/>
        <v>0.18849744418982947</v>
      </c>
      <c r="K7" s="352" t="s">
        <v>85</v>
      </c>
      <c r="L7" s="360">
        <f ca="1">vel/ACCEL</f>
        <v>0.18849744418982947</v>
      </c>
      <c r="M7" s="55">
        <f t="shared" ref="M7:S7" ca="1" si="9">IF(M3&gt;ALLACC_2,ACCTM_2,SQRT((M3/12)/ACCEL))</f>
        <v>0.11547005383792515</v>
      </c>
      <c r="N7" s="55">
        <f t="shared" ca="1" si="9"/>
        <v>0.16329931618554519</v>
      </c>
      <c r="O7" s="55">
        <f t="shared" ca="1" si="9"/>
        <v>0.18849744418982947</v>
      </c>
      <c r="P7" s="55">
        <f t="shared" ca="1" si="9"/>
        <v>0.18849744418982947</v>
      </c>
      <c r="Q7" s="55">
        <f t="shared" ca="1" si="9"/>
        <v>0.18849744418982947</v>
      </c>
      <c r="R7" s="55">
        <f t="shared" ca="1" si="9"/>
        <v>0.18849744418982947</v>
      </c>
      <c r="S7" s="55">
        <f t="shared" ca="1" si="9"/>
        <v>0.18849744418982947</v>
      </c>
    </row>
    <row r="8" spans="1:19" ht="15.75" thickBot="1" x14ac:dyDescent="0.3">
      <c r="A8" s="352" t="s">
        <v>633</v>
      </c>
      <c r="B8" s="360">
        <f ca="1">((ACCTM*2)+B5+SETTM)</f>
        <v>0.41199488837965892</v>
      </c>
      <c r="C8" s="55">
        <f t="shared" ref="C8:I8" ca="1" si="10">(C7*2)+C5+SETTM</f>
        <v>0.2659401076758503</v>
      </c>
      <c r="D8" s="55">
        <f t="shared" ca="1" si="10"/>
        <v>0.36159863237109036</v>
      </c>
      <c r="E8" s="55">
        <f t="shared" ca="1" si="10"/>
        <v>0.43570191291311533</v>
      </c>
      <c r="F8" s="55">
        <f t="shared" ca="1" si="10"/>
        <v>0.50643673582087734</v>
      </c>
      <c r="G8" s="55">
        <f t="shared" ca="1" si="10"/>
        <v>0.57717155872863934</v>
      </c>
      <c r="H8" s="55">
        <f t="shared" ca="1" si="10"/>
        <v>0.64790638163640135</v>
      </c>
      <c r="I8" s="206">
        <f t="shared" ca="1" si="10"/>
        <v>0.71864120454416336</v>
      </c>
      <c r="K8" s="352" t="s">
        <v>633</v>
      </c>
      <c r="L8" s="360">
        <f ca="1">((ACCTM*2)+L5+SETTM)</f>
        <v>0.41199488837965892</v>
      </c>
      <c r="M8" s="55">
        <f t="shared" ref="M8:S8" ca="1" si="11">(M7*2)+M5+SETTM</f>
        <v>0.2659401076758503</v>
      </c>
      <c r="N8" s="55">
        <f t="shared" ca="1" si="11"/>
        <v>0.36159863237109036</v>
      </c>
      <c r="O8" s="55">
        <f t="shared" ca="1" si="11"/>
        <v>0.43570191291311533</v>
      </c>
      <c r="P8" s="55">
        <f t="shared" ca="1" si="11"/>
        <v>0.50643673582087734</v>
      </c>
      <c r="Q8" s="55">
        <f t="shared" ca="1" si="11"/>
        <v>0.57717155872863934</v>
      </c>
      <c r="R8" s="55">
        <f t="shared" ca="1" si="11"/>
        <v>0.64790638163640135</v>
      </c>
      <c r="S8" s="206">
        <f t="shared" ca="1" si="11"/>
        <v>0.71864120454416336</v>
      </c>
    </row>
    <row r="9" spans="1:19" ht="15.75" thickBot="1" x14ac:dyDescent="0.3">
      <c r="A9" s="352" t="s">
        <v>634</v>
      </c>
      <c r="B9" s="360">
        <f ca="1">IF(application="Press Feed",MOVTM*(360/FA),MOVTM+FA)</f>
        <v>0.82398977675931784</v>
      </c>
      <c r="C9" s="55">
        <f t="shared" ref="C9:I9" ca="1" si="12">IF(application="Press Feed",C8*(360/FA),C8+FA)</f>
        <v>0.5318802153517006</v>
      </c>
      <c r="D9" s="55">
        <f t="shared" ca="1" si="12"/>
        <v>0.72319726474218071</v>
      </c>
      <c r="E9" s="55">
        <f t="shared" ca="1" si="12"/>
        <v>0.87140382582623066</v>
      </c>
      <c r="F9" s="55">
        <f t="shared" ca="1" si="12"/>
        <v>1.0128734716417547</v>
      </c>
      <c r="G9" s="55">
        <f t="shared" ca="1" si="12"/>
        <v>1.1543431174572787</v>
      </c>
      <c r="H9" s="55">
        <f t="shared" ca="1" si="12"/>
        <v>1.2958127632728027</v>
      </c>
      <c r="I9" s="55">
        <f t="shared" ca="1" si="12"/>
        <v>1.4372824090883267</v>
      </c>
      <c r="K9" s="352" t="s">
        <v>634</v>
      </c>
      <c r="L9" s="360">
        <f ca="1">IF(application="Press Feed",MOVTM_2*(360/FA_2),MOVTM_2+FA_2)</f>
        <v>0.61799233256948838</v>
      </c>
      <c r="M9" s="55">
        <f t="shared" ref="M9:S9" ca="1" si="13">IF(application="Press Feed",M8*(360/FA_2),M8+FA_2)</f>
        <v>0.39891016151377545</v>
      </c>
      <c r="N9" s="55">
        <f t="shared" ca="1" si="13"/>
        <v>0.54239794855663548</v>
      </c>
      <c r="O9" s="55">
        <f t="shared" ca="1" si="13"/>
        <v>0.65355286936967305</v>
      </c>
      <c r="P9" s="55">
        <f t="shared" ca="1" si="13"/>
        <v>0.75965510373131595</v>
      </c>
      <c r="Q9" s="55">
        <f t="shared" ca="1" si="13"/>
        <v>0.86575733809295907</v>
      </c>
      <c r="R9" s="55">
        <f t="shared" ca="1" si="13"/>
        <v>0.97185957245460197</v>
      </c>
      <c r="S9" s="55">
        <f t="shared" ca="1" si="13"/>
        <v>1.0779618068162451</v>
      </c>
    </row>
    <row r="10" spans="1:19" ht="15.75" thickBot="1" x14ac:dyDescent="0.3">
      <c r="A10" s="352" t="s">
        <v>635</v>
      </c>
      <c r="B10" s="361">
        <f ca="1">60/CYCTM</f>
        <v>72.816437402870378</v>
      </c>
      <c r="C10" s="233">
        <f t="shared" ref="C10:I10" ca="1" si="14">IF(60/C9*C3&lt;StrMaxSpInch,ROUNDDOWN(60/C9,0),ROUNDDOWN(StrMaxSpInch/C3,0))</f>
        <v>112</v>
      </c>
      <c r="D10" s="233">
        <f t="shared" ca="1" si="14"/>
        <v>82</v>
      </c>
      <c r="E10" s="233">
        <f t="shared" ca="1" si="14"/>
        <v>68</v>
      </c>
      <c r="F10" s="233">
        <f t="shared" ca="1" si="14"/>
        <v>59</v>
      </c>
      <c r="G10" s="233">
        <f t="shared" ca="1" si="14"/>
        <v>51</v>
      </c>
      <c r="H10" s="233">
        <f t="shared" ca="1" si="14"/>
        <v>46</v>
      </c>
      <c r="I10" s="233">
        <f t="shared" ca="1" si="14"/>
        <v>41</v>
      </c>
      <c r="K10" s="352" t="s">
        <v>635</v>
      </c>
      <c r="L10" s="361">
        <f ca="1">60/CYCTM_2</f>
        <v>97.08858320382717</v>
      </c>
      <c r="M10" s="233">
        <f t="shared" ref="M10:S10" ca="1" si="15">IF(60/M9*M3&lt;StrMaxSpInch,ROUNDDOWN(60/M9,0),ROUNDDOWN(StrMaxSpInch/M3,0))</f>
        <v>150</v>
      </c>
      <c r="N10" s="233">
        <f t="shared" ca="1" si="15"/>
        <v>110</v>
      </c>
      <c r="O10" s="233">
        <f t="shared" ca="1" si="15"/>
        <v>91</v>
      </c>
      <c r="P10" s="233">
        <f t="shared" ca="1" si="15"/>
        <v>78</v>
      </c>
      <c r="Q10" s="233">
        <f t="shared" ca="1" si="15"/>
        <v>69</v>
      </c>
      <c r="R10" s="233">
        <f t="shared" ca="1" si="15"/>
        <v>60</v>
      </c>
      <c r="S10" s="233">
        <f t="shared" ca="1" si="15"/>
        <v>51</v>
      </c>
    </row>
    <row r="11" spans="1:19" ht="15.75" thickBot="1" x14ac:dyDescent="0.3">
      <c r="I11" s="201"/>
      <c r="S11" s="201"/>
    </row>
    <row r="12" spans="1:19" ht="15.75" thickBot="1" x14ac:dyDescent="0.3">
      <c r="A12" s="352" t="s">
        <v>123</v>
      </c>
      <c r="B12" s="354">
        <f ca="1">I3+INCR</f>
        <v>32</v>
      </c>
      <c r="C12" s="354">
        <f t="shared" ref="C12:I12" ca="1" si="16">B12+INCR</f>
        <v>36</v>
      </c>
      <c r="D12" s="354">
        <f t="shared" ca="1" si="16"/>
        <v>40</v>
      </c>
      <c r="E12" s="354">
        <f t="shared" ca="1" si="16"/>
        <v>44</v>
      </c>
      <c r="F12" s="354">
        <f t="shared" ca="1" si="16"/>
        <v>48</v>
      </c>
      <c r="G12" s="354">
        <f t="shared" ca="1" si="16"/>
        <v>52</v>
      </c>
      <c r="H12" s="354">
        <f t="shared" ca="1" si="16"/>
        <v>56</v>
      </c>
      <c r="I12" s="354">
        <f t="shared" ca="1" si="16"/>
        <v>60</v>
      </c>
      <c r="K12" s="352" t="s">
        <v>123</v>
      </c>
      <c r="L12" s="354">
        <f ca="1">S3+INCR</f>
        <v>32</v>
      </c>
      <c r="M12" s="354">
        <f t="shared" ref="M12:S12" ca="1" si="17">L12+INCR</f>
        <v>36</v>
      </c>
      <c r="N12" s="354">
        <f t="shared" ca="1" si="17"/>
        <v>40</v>
      </c>
      <c r="O12" s="354">
        <f t="shared" ca="1" si="17"/>
        <v>44</v>
      </c>
      <c r="P12" s="354">
        <f t="shared" ca="1" si="17"/>
        <v>48</v>
      </c>
      <c r="Q12" s="354">
        <f t="shared" ca="1" si="17"/>
        <v>52</v>
      </c>
      <c r="R12" s="354">
        <f t="shared" ca="1" si="17"/>
        <v>56</v>
      </c>
      <c r="S12" s="354">
        <f t="shared" ca="1" si="17"/>
        <v>60</v>
      </c>
    </row>
    <row r="13" spans="1:19" ht="15.75" thickBot="1" x14ac:dyDescent="0.3">
      <c r="A13" s="352" t="s">
        <v>630</v>
      </c>
      <c r="B13" s="355">
        <f t="shared" ref="B13:I13" ca="1" si="18">SQRT((((PEAKTQ^2)*B16)+((ACCTQ^2)*B16)+(((FRICTQ+LOOPTQ)^2)*B14)+((SETTQ^2)*SETTM)+((LOOPTQ^2)*B15))/B18)</f>
        <v>302.34106092411474</v>
      </c>
      <c r="C13" s="356">
        <f t="shared" ca="1" si="18"/>
        <v>290.52031586832993</v>
      </c>
      <c r="D13" s="356">
        <f t="shared" ca="1" si="18"/>
        <v>280.1054695682526</v>
      </c>
      <c r="E13" s="356">
        <f t="shared" ca="1" si="18"/>
        <v>270.84223965082754</v>
      </c>
      <c r="F13" s="356">
        <f t="shared" ca="1" si="18"/>
        <v>262.53622831154235</v>
      </c>
      <c r="G13" s="356">
        <f t="shared" ca="1" si="18"/>
        <v>255.0359451959537</v>
      </c>
      <c r="H13" s="356">
        <f t="shared" ca="1" si="18"/>
        <v>248.22136286631158</v>
      </c>
      <c r="I13" s="357">
        <f t="shared" ca="1" si="18"/>
        <v>241.99599338096948</v>
      </c>
      <c r="K13" s="352" t="s">
        <v>630</v>
      </c>
      <c r="L13" s="355">
        <f t="shared" ref="L13:S13" ca="1" si="19">SQRT((((PEAKTQ^2)*L16)+((ACCTQ^2)*L16)+(((FRICTQ+LOOPTQ)^2)*L14)+((SETTQ^2)*SETTM)+((LOOPTQ^2)*L15))/L18)</f>
        <v>346.97538924774932</v>
      </c>
      <c r="M13" s="356">
        <f t="shared" ca="1" si="19"/>
        <v>333.2384078888773</v>
      </c>
      <c r="N13" s="356">
        <f t="shared" ca="1" si="19"/>
        <v>321.12904471370467</v>
      </c>
      <c r="O13" s="356">
        <f t="shared" ca="1" si="19"/>
        <v>310.35322288445769</v>
      </c>
      <c r="P13" s="356">
        <f t="shared" ca="1" si="19"/>
        <v>300.68609237996895</v>
      </c>
      <c r="Q13" s="356">
        <f t="shared" ca="1" si="19"/>
        <v>291.95240885914865</v>
      </c>
      <c r="R13" s="356">
        <f t="shared" ca="1" si="19"/>
        <v>284.01330583902876</v>
      </c>
      <c r="S13" s="357">
        <f t="shared" ca="1" si="19"/>
        <v>276.75713601024114</v>
      </c>
    </row>
    <row r="14" spans="1:19" ht="15.75" thickBot="1" x14ac:dyDescent="0.3">
      <c r="A14" s="352" t="s">
        <v>631</v>
      </c>
      <c r="B14" s="360">
        <f t="shared" ref="B14:I14" ca="1" si="20">IF(B12&gt;ALLACC,((B12-ALLACC)/12)/vel,0)</f>
        <v>0.37738113907226628</v>
      </c>
      <c r="C14" s="55">
        <f t="shared" ca="1" si="20"/>
        <v>0.44811596198002829</v>
      </c>
      <c r="D14" s="55">
        <f t="shared" ca="1" si="20"/>
        <v>0.51885078488779024</v>
      </c>
      <c r="E14" s="55">
        <f t="shared" ca="1" si="20"/>
        <v>0.58958560779555225</v>
      </c>
      <c r="F14" s="55">
        <f t="shared" ca="1" si="20"/>
        <v>0.66032043070331425</v>
      </c>
      <c r="G14" s="55">
        <f t="shared" ca="1" si="20"/>
        <v>0.73105525361107615</v>
      </c>
      <c r="H14" s="55">
        <f t="shared" ca="1" si="20"/>
        <v>0.80179007651883816</v>
      </c>
      <c r="I14" s="206">
        <f t="shared" ca="1" si="20"/>
        <v>0.87252489942660005</v>
      </c>
      <c r="K14" s="352" t="s">
        <v>631</v>
      </c>
      <c r="L14" s="360">
        <f t="shared" ref="L14:S14" ca="1" si="21">IF(L12&gt;ALLACC_2,((L12-ALLACC_2)/12)/vel,0)</f>
        <v>0.37738113907226628</v>
      </c>
      <c r="M14" s="360">
        <f t="shared" ca="1" si="21"/>
        <v>0.44811596198002829</v>
      </c>
      <c r="N14" s="360">
        <f t="shared" ca="1" si="21"/>
        <v>0.51885078488779024</v>
      </c>
      <c r="O14" s="360">
        <f t="shared" ca="1" si="21"/>
        <v>0.58958560779555225</v>
      </c>
      <c r="P14" s="360">
        <f t="shared" ca="1" si="21"/>
        <v>0.66032043070331425</v>
      </c>
      <c r="Q14" s="360">
        <f t="shared" ca="1" si="21"/>
        <v>0.73105525361107615</v>
      </c>
      <c r="R14" s="360">
        <f t="shared" ca="1" si="21"/>
        <v>0.80179007651883816</v>
      </c>
      <c r="S14" s="360">
        <f t="shared" ca="1" si="21"/>
        <v>0.87252489942660005</v>
      </c>
    </row>
    <row r="15" spans="1:19" ht="15.75" thickBot="1" x14ac:dyDescent="0.3">
      <c r="A15" s="352" t="s">
        <v>632</v>
      </c>
      <c r="B15" s="360">
        <f t="shared" ref="B15:I15" ca="1" si="22">B18-B17</f>
        <v>0.78937602745192526</v>
      </c>
      <c r="C15" s="55">
        <f t="shared" ca="1" si="22"/>
        <v>0.86011085035968726</v>
      </c>
      <c r="D15" s="55">
        <f t="shared" ca="1" si="22"/>
        <v>0.93084567326744916</v>
      </c>
      <c r="E15" s="55">
        <f t="shared" ca="1" si="22"/>
        <v>1.0015804961752111</v>
      </c>
      <c r="F15" s="55">
        <f t="shared" ca="1" si="22"/>
        <v>1.0723153190829731</v>
      </c>
      <c r="G15" s="55">
        <f t="shared" ca="1" si="22"/>
        <v>1.1430501419907351</v>
      </c>
      <c r="H15" s="55">
        <f t="shared" ca="1" si="22"/>
        <v>1.2137849648984971</v>
      </c>
      <c r="I15" s="206">
        <f t="shared" ca="1" si="22"/>
        <v>1.2845197878062589</v>
      </c>
      <c r="K15" s="352" t="s">
        <v>632</v>
      </c>
      <c r="L15" s="360">
        <f t="shared" ref="L15:S15" ca="1" si="23">L18-L17</f>
        <v>0.39468801372596274</v>
      </c>
      <c r="M15" s="55">
        <f t="shared" ca="1" si="23"/>
        <v>0.43005542517984363</v>
      </c>
      <c r="N15" s="55">
        <f t="shared" ca="1" si="23"/>
        <v>0.46542283663372463</v>
      </c>
      <c r="O15" s="55">
        <f t="shared" ca="1" si="23"/>
        <v>0.50079024808760564</v>
      </c>
      <c r="P15" s="55">
        <f t="shared" ca="1" si="23"/>
        <v>0.53615765954148653</v>
      </c>
      <c r="Q15" s="55">
        <f t="shared" ca="1" si="23"/>
        <v>0.57152507099536742</v>
      </c>
      <c r="R15" s="55">
        <f t="shared" ca="1" si="23"/>
        <v>0.60689248244924854</v>
      </c>
      <c r="S15" s="206">
        <f t="shared" ca="1" si="23"/>
        <v>0.64225989390312943</v>
      </c>
    </row>
    <row r="16" spans="1:19" ht="15.75" thickBot="1" x14ac:dyDescent="0.3">
      <c r="A16" s="352" t="s">
        <v>85</v>
      </c>
      <c r="B16" s="360">
        <f t="shared" ref="B16:I16" ca="1" si="24">IF(B12&gt;ALLACC,ACCTM,SQRT((B12/12)/ACCEL))</f>
        <v>0.18849744418982947</v>
      </c>
      <c r="C16" s="55">
        <f t="shared" ca="1" si="24"/>
        <v>0.18849744418982947</v>
      </c>
      <c r="D16" s="55">
        <f t="shared" ca="1" si="24"/>
        <v>0.18849744418982947</v>
      </c>
      <c r="E16" s="55">
        <f t="shared" ca="1" si="24"/>
        <v>0.18849744418982947</v>
      </c>
      <c r="F16" s="55">
        <f t="shared" ca="1" si="24"/>
        <v>0.18849744418982947</v>
      </c>
      <c r="G16" s="55">
        <f t="shared" ca="1" si="24"/>
        <v>0.18849744418982947</v>
      </c>
      <c r="H16" s="55">
        <f t="shared" ca="1" si="24"/>
        <v>0.18849744418982947</v>
      </c>
      <c r="I16" s="206">
        <f t="shared" ca="1" si="24"/>
        <v>0.18849744418982947</v>
      </c>
      <c r="K16" s="352" t="s">
        <v>85</v>
      </c>
      <c r="L16" s="360">
        <f t="shared" ref="L16:S16" ca="1" si="25">IF(L12&gt;ALLACC_2,ACCTM_2,SQRT((L12/12)/ACCEL))</f>
        <v>0.18849744418982947</v>
      </c>
      <c r="M16" s="360">
        <f t="shared" ca="1" si="25"/>
        <v>0.18849744418982947</v>
      </c>
      <c r="N16" s="360">
        <f t="shared" ca="1" si="25"/>
        <v>0.18849744418982947</v>
      </c>
      <c r="O16" s="360">
        <f t="shared" ca="1" si="25"/>
        <v>0.18849744418982947</v>
      </c>
      <c r="P16" s="360">
        <f t="shared" ca="1" si="25"/>
        <v>0.18849744418982947</v>
      </c>
      <c r="Q16" s="360">
        <f t="shared" ca="1" si="25"/>
        <v>0.18849744418982947</v>
      </c>
      <c r="R16" s="360">
        <f t="shared" ca="1" si="25"/>
        <v>0.18849744418982947</v>
      </c>
      <c r="S16" s="360">
        <f t="shared" ca="1" si="25"/>
        <v>0.18849744418982947</v>
      </c>
    </row>
    <row r="17" spans="1:19" ht="15.75" thickBot="1" x14ac:dyDescent="0.3">
      <c r="A17" s="352" t="s">
        <v>633</v>
      </c>
      <c r="B17" s="360">
        <f t="shared" ref="B17:I17" ca="1" si="26">(B16*2)+B14+SETTM</f>
        <v>0.78937602745192526</v>
      </c>
      <c r="C17" s="55">
        <f t="shared" ca="1" si="26"/>
        <v>0.86011085035968726</v>
      </c>
      <c r="D17" s="55">
        <f t="shared" ca="1" si="26"/>
        <v>0.93084567326744916</v>
      </c>
      <c r="E17" s="55">
        <f t="shared" ca="1" si="26"/>
        <v>1.0015804961752111</v>
      </c>
      <c r="F17" s="55">
        <f t="shared" ca="1" si="26"/>
        <v>1.0723153190829731</v>
      </c>
      <c r="G17" s="55">
        <f t="shared" ca="1" si="26"/>
        <v>1.1430501419907351</v>
      </c>
      <c r="H17" s="55">
        <f t="shared" ca="1" si="26"/>
        <v>1.2137849648984971</v>
      </c>
      <c r="I17" s="206">
        <f t="shared" ca="1" si="26"/>
        <v>1.2845197878062589</v>
      </c>
      <c r="K17" s="352" t="s">
        <v>633</v>
      </c>
      <c r="L17" s="360">
        <f t="shared" ref="L17:S17" ca="1" si="27">(L16*2)+L14+SETTM</f>
        <v>0.78937602745192526</v>
      </c>
      <c r="M17" s="55">
        <f t="shared" ca="1" si="27"/>
        <v>0.86011085035968726</v>
      </c>
      <c r="N17" s="55">
        <f t="shared" ca="1" si="27"/>
        <v>0.93084567326744916</v>
      </c>
      <c r="O17" s="55">
        <f t="shared" ca="1" si="27"/>
        <v>1.0015804961752111</v>
      </c>
      <c r="P17" s="55">
        <f t="shared" ca="1" si="27"/>
        <v>1.0723153190829731</v>
      </c>
      <c r="Q17" s="55">
        <f t="shared" ca="1" si="27"/>
        <v>1.1430501419907351</v>
      </c>
      <c r="R17" s="55">
        <f t="shared" ca="1" si="27"/>
        <v>1.2137849648984971</v>
      </c>
      <c r="S17" s="206">
        <f t="shared" ca="1" si="27"/>
        <v>1.2845197878062589</v>
      </c>
    </row>
    <row r="18" spans="1:19" ht="15.75" thickBot="1" x14ac:dyDescent="0.3">
      <c r="A18" s="352" t="s">
        <v>634</v>
      </c>
      <c r="B18" s="360">
        <f t="shared" ref="B18:I18" ca="1" si="28">IF(application="Press Feed",B17*(360/FA),B17+FA)</f>
        <v>1.5787520549038505</v>
      </c>
      <c r="C18" s="360">
        <f t="shared" ca="1" si="28"/>
        <v>1.7202217007193745</v>
      </c>
      <c r="D18" s="360">
        <f t="shared" ca="1" si="28"/>
        <v>1.8616913465348983</v>
      </c>
      <c r="E18" s="360">
        <f t="shared" ca="1" si="28"/>
        <v>2.0031609923504221</v>
      </c>
      <c r="F18" s="360">
        <f t="shared" ca="1" si="28"/>
        <v>2.1446306381659461</v>
      </c>
      <c r="G18" s="360">
        <f t="shared" ca="1" si="28"/>
        <v>2.2861002839814701</v>
      </c>
      <c r="H18" s="360">
        <f t="shared" ca="1" si="28"/>
        <v>2.4275699297969942</v>
      </c>
      <c r="I18" s="360">
        <f t="shared" ca="1" si="28"/>
        <v>2.5690395756125177</v>
      </c>
      <c r="K18" s="352" t="s">
        <v>634</v>
      </c>
      <c r="L18" s="360">
        <f t="shared" ref="L18:S18" ca="1" si="29">IF(application="Press Feed",L17*(360/FA_2),L17+FA_2)</f>
        <v>1.184064041177888</v>
      </c>
      <c r="M18" s="360">
        <f t="shared" ca="1" si="29"/>
        <v>1.2901662755395309</v>
      </c>
      <c r="N18" s="360">
        <f t="shared" ca="1" si="29"/>
        <v>1.3962685099011738</v>
      </c>
      <c r="O18" s="360">
        <f t="shared" ca="1" si="29"/>
        <v>1.5023707442628167</v>
      </c>
      <c r="P18" s="360">
        <f t="shared" ca="1" si="29"/>
        <v>1.6084729786244596</v>
      </c>
      <c r="Q18" s="360">
        <f t="shared" ca="1" si="29"/>
        <v>1.7145752129861025</v>
      </c>
      <c r="R18" s="360">
        <f t="shared" ca="1" si="29"/>
        <v>1.8206774473477456</v>
      </c>
      <c r="S18" s="360">
        <f t="shared" ca="1" si="29"/>
        <v>1.9267796817093883</v>
      </c>
    </row>
    <row r="19" spans="1:19" ht="15.75" thickBot="1" x14ac:dyDescent="0.3">
      <c r="A19" s="352" t="s">
        <v>635</v>
      </c>
      <c r="B19" s="362">
        <f t="shared" ref="B19:I19" ca="1" si="30">IF(60/B18*B12&lt;StrMaxSpInch,ROUNDDOWN(60/B18,0),ROUNDDOWN(StrMaxSpInch/B12,0))</f>
        <v>38</v>
      </c>
      <c r="C19" s="362">
        <f t="shared" ca="1" si="30"/>
        <v>34</v>
      </c>
      <c r="D19" s="362">
        <f t="shared" ca="1" si="30"/>
        <v>32</v>
      </c>
      <c r="E19" s="362">
        <f t="shared" ca="1" si="30"/>
        <v>29</v>
      </c>
      <c r="F19" s="362">
        <f t="shared" ca="1" si="30"/>
        <v>27</v>
      </c>
      <c r="G19" s="362">
        <f t="shared" ca="1" si="30"/>
        <v>26</v>
      </c>
      <c r="H19" s="362">
        <f t="shared" ca="1" si="30"/>
        <v>24</v>
      </c>
      <c r="I19" s="362">
        <f t="shared" ca="1" si="30"/>
        <v>23</v>
      </c>
      <c r="K19" s="352" t="s">
        <v>635</v>
      </c>
      <c r="L19" s="362">
        <f t="shared" ref="L19:S19" ca="1" si="31">IF(60/L18*L12&lt;StrMaxSpInch,ROUNDDOWN(60/L18,0),ROUNDDOWN(StrMaxSpInch/L12,0))</f>
        <v>45</v>
      </c>
      <c r="M19" s="362">
        <f t="shared" ca="1" si="31"/>
        <v>40</v>
      </c>
      <c r="N19" s="362">
        <f t="shared" ca="1" si="31"/>
        <v>36</v>
      </c>
      <c r="O19" s="362">
        <f t="shared" ca="1" si="31"/>
        <v>32</v>
      </c>
      <c r="P19" s="362">
        <f t="shared" ca="1" si="31"/>
        <v>30</v>
      </c>
      <c r="Q19" s="362">
        <f t="shared" ca="1" si="31"/>
        <v>27</v>
      </c>
      <c r="R19" s="362">
        <f t="shared" ca="1" si="31"/>
        <v>25</v>
      </c>
      <c r="S19" s="362">
        <f t="shared" ca="1" si="31"/>
        <v>24</v>
      </c>
    </row>
    <row r="20" spans="1:19" ht="15.75" thickBot="1" x14ac:dyDescent="0.3">
      <c r="I20" s="201"/>
      <c r="S20" s="201"/>
    </row>
    <row r="21" spans="1:19" ht="15.75" thickBot="1" x14ac:dyDescent="0.3">
      <c r="A21" s="352" t="s">
        <v>123</v>
      </c>
      <c r="B21" s="363">
        <f ca="1">I12+INCR</f>
        <v>64</v>
      </c>
      <c r="C21" s="354">
        <f t="shared" ref="C21:I21" ca="1" si="32">B21+INCR</f>
        <v>68</v>
      </c>
      <c r="D21" s="354">
        <f t="shared" ca="1" si="32"/>
        <v>72</v>
      </c>
      <c r="E21" s="354">
        <f t="shared" ca="1" si="32"/>
        <v>76</v>
      </c>
      <c r="F21" s="354">
        <f t="shared" ca="1" si="32"/>
        <v>80</v>
      </c>
      <c r="G21" s="354">
        <f t="shared" ca="1" si="32"/>
        <v>84</v>
      </c>
      <c r="H21" s="354">
        <f t="shared" ca="1" si="32"/>
        <v>88</v>
      </c>
      <c r="I21" s="354">
        <f t="shared" ca="1" si="32"/>
        <v>92</v>
      </c>
      <c r="K21" s="352" t="s">
        <v>123</v>
      </c>
      <c r="L21" s="363">
        <f ca="1">S12+INCR</f>
        <v>64</v>
      </c>
      <c r="M21" s="354">
        <f t="shared" ref="M21:S21" ca="1" si="33">L21+INCR</f>
        <v>68</v>
      </c>
      <c r="N21" s="354">
        <f t="shared" ca="1" si="33"/>
        <v>72</v>
      </c>
      <c r="O21" s="354">
        <f t="shared" ca="1" si="33"/>
        <v>76</v>
      </c>
      <c r="P21" s="354">
        <f t="shared" ca="1" si="33"/>
        <v>80</v>
      </c>
      <c r="Q21" s="354">
        <f t="shared" ca="1" si="33"/>
        <v>84</v>
      </c>
      <c r="R21" s="354">
        <f t="shared" ca="1" si="33"/>
        <v>88</v>
      </c>
      <c r="S21" s="354">
        <f t="shared" ca="1" si="33"/>
        <v>92</v>
      </c>
    </row>
    <row r="22" spans="1:19" ht="15.75" thickBot="1" x14ac:dyDescent="0.3">
      <c r="A22" s="352" t="s">
        <v>630</v>
      </c>
      <c r="B22" s="355">
        <f t="shared" ref="B22:I22" ca="1" si="34">SQRT((((PEAKTQ^2)*B25)+((ACCTQ^2)*B25)+(((FRICTQ+LOOPTQ)^2)*B23)+((SETTQ^2)*SETTM)+((LOOPTQ^2)*B24))/B27)</f>
        <v>236.28127363323242</v>
      </c>
      <c r="C22" s="356">
        <f t="shared" ca="1" si="34"/>
        <v>231.01250450060741</v>
      </c>
      <c r="D22" s="356">
        <f t="shared" ca="1" si="34"/>
        <v>226.13586004258781</v>
      </c>
      <c r="E22" s="356">
        <f t="shared" ca="1" si="34"/>
        <v>221.60614881616857</v>
      </c>
      <c r="F22" s="356">
        <f t="shared" ca="1" si="34"/>
        <v>217.38511360080599</v>
      </c>
      <c r="G22" s="356">
        <f t="shared" ca="1" si="34"/>
        <v>213.44012294863242</v>
      </c>
      <c r="H22" s="356">
        <f t="shared" ca="1" si="34"/>
        <v>209.7431521670504</v>
      </c>
      <c r="I22" s="357">
        <f t="shared" ca="1" si="34"/>
        <v>206.26998101757914</v>
      </c>
      <c r="K22" s="352" t="s">
        <v>630</v>
      </c>
      <c r="L22" s="355">
        <f t="shared" ref="L22:S22" ca="1" si="35">SQRT((((PEAKTQ^2)*L25)+((ACCTQ^2)*L25)+(((FRICTQ+LOOPTQ)^2)*L23)+((SETTQ^2)*SETTM)+((LOOPTQ^2)*L24))/L27)</f>
        <v>270.09298079672135</v>
      </c>
      <c r="M22" s="356">
        <f t="shared" ca="1" si="35"/>
        <v>263.94595576277675</v>
      </c>
      <c r="N22" s="356">
        <f t="shared" ca="1" si="35"/>
        <v>258.25375281997867</v>
      </c>
      <c r="O22" s="356">
        <f t="shared" ca="1" si="35"/>
        <v>252.96405180745867</v>
      </c>
      <c r="P22" s="356">
        <f t="shared" ca="1" si="35"/>
        <v>248.03255445535493</v>
      </c>
      <c r="Q22" s="356">
        <f t="shared" ca="1" si="35"/>
        <v>243.42147131077942</v>
      </c>
      <c r="R22" s="356">
        <f t="shared" ca="1" si="35"/>
        <v>239.09834327593208</v>
      </c>
      <c r="S22" s="357">
        <f t="shared" ca="1" si="35"/>
        <v>235.03511370571442</v>
      </c>
    </row>
    <row r="23" spans="1:19" ht="15.75" thickBot="1" x14ac:dyDescent="0.3">
      <c r="A23" s="352" t="s">
        <v>631</v>
      </c>
      <c r="B23" s="360">
        <f t="shared" ref="B23:I23" ca="1" si="36">IF(B21&gt;ALLACC,((B21-ALLACC)/12)/vel,0)</f>
        <v>0.94325972233436217</v>
      </c>
      <c r="C23" s="55">
        <f t="shared" ca="1" si="36"/>
        <v>1.013994545242124</v>
      </c>
      <c r="D23" s="55">
        <f t="shared" ca="1" si="36"/>
        <v>1.084729368149886</v>
      </c>
      <c r="E23" s="55">
        <f t="shared" ca="1" si="36"/>
        <v>1.155464191057648</v>
      </c>
      <c r="F23" s="55">
        <f t="shared" ca="1" si="36"/>
        <v>1.22619901396541</v>
      </c>
      <c r="G23" s="55">
        <f t="shared" ca="1" si="36"/>
        <v>1.2969338368731718</v>
      </c>
      <c r="H23" s="55">
        <f t="shared" ca="1" si="36"/>
        <v>1.367668659780934</v>
      </c>
      <c r="I23" s="206">
        <f t="shared" ca="1" si="36"/>
        <v>1.4384034826886958</v>
      </c>
      <c r="K23" s="352" t="s">
        <v>631</v>
      </c>
      <c r="L23" s="360">
        <f t="shared" ref="L23:S23" ca="1" si="37">IF(L21&gt;ALLACC_2,((L21-ALLACC_2)/12)/vel,0)</f>
        <v>0.94325972233436217</v>
      </c>
      <c r="M23" s="360">
        <f t="shared" ca="1" si="37"/>
        <v>1.013994545242124</v>
      </c>
      <c r="N23" s="360">
        <f t="shared" ca="1" si="37"/>
        <v>1.084729368149886</v>
      </c>
      <c r="O23" s="360">
        <f t="shared" ca="1" si="37"/>
        <v>1.155464191057648</v>
      </c>
      <c r="P23" s="360">
        <f t="shared" ca="1" si="37"/>
        <v>1.22619901396541</v>
      </c>
      <c r="Q23" s="360">
        <f t="shared" ca="1" si="37"/>
        <v>1.2969338368731718</v>
      </c>
      <c r="R23" s="360">
        <f t="shared" ca="1" si="37"/>
        <v>1.367668659780934</v>
      </c>
      <c r="S23" s="360">
        <f t="shared" ca="1" si="37"/>
        <v>1.4384034826886958</v>
      </c>
    </row>
    <row r="24" spans="1:19" ht="15.75" thickBot="1" x14ac:dyDescent="0.3">
      <c r="A24" s="352" t="s">
        <v>632</v>
      </c>
      <c r="B24" s="360">
        <f t="shared" ref="B24:I24" ca="1" si="38">B27-B26</f>
        <v>1.3552546107140211</v>
      </c>
      <c r="C24" s="55">
        <f t="shared" ca="1" si="38"/>
        <v>1.4259894336217829</v>
      </c>
      <c r="D24" s="55">
        <f t="shared" ca="1" si="38"/>
        <v>1.4967242565295449</v>
      </c>
      <c r="E24" s="55">
        <f t="shared" ca="1" si="38"/>
        <v>1.5674590794373069</v>
      </c>
      <c r="F24" s="55">
        <f t="shared" ca="1" si="38"/>
        <v>1.6381939023450689</v>
      </c>
      <c r="G24" s="55">
        <f t="shared" ca="1" si="38"/>
        <v>1.7089287252528307</v>
      </c>
      <c r="H24" s="55">
        <f t="shared" ca="1" si="38"/>
        <v>1.7796635481605929</v>
      </c>
      <c r="I24" s="206">
        <f t="shared" ca="1" si="38"/>
        <v>1.8503983710683547</v>
      </c>
      <c r="K24" s="352" t="s">
        <v>632</v>
      </c>
      <c r="L24" s="360">
        <f t="shared" ref="L24:S24" ca="1" si="39">L27-L26</f>
        <v>0.67762730535701055</v>
      </c>
      <c r="M24" s="55">
        <f t="shared" ca="1" si="39"/>
        <v>0.71299471681089122</v>
      </c>
      <c r="N24" s="55">
        <f t="shared" ca="1" si="39"/>
        <v>0.74836212826477255</v>
      </c>
      <c r="O24" s="55">
        <f t="shared" ca="1" si="39"/>
        <v>0.78372953971865345</v>
      </c>
      <c r="P24" s="55">
        <f t="shared" ca="1" si="39"/>
        <v>0.81909695117253434</v>
      </c>
      <c r="Q24" s="55">
        <f t="shared" ca="1" si="39"/>
        <v>0.85446436262641545</v>
      </c>
      <c r="R24" s="55">
        <f t="shared" ca="1" si="39"/>
        <v>0.88983177408029657</v>
      </c>
      <c r="S24" s="206">
        <f t="shared" ca="1" si="39"/>
        <v>0.92519918553417724</v>
      </c>
    </row>
    <row r="25" spans="1:19" ht="15.75" thickBot="1" x14ac:dyDescent="0.3">
      <c r="A25" s="352" t="s">
        <v>85</v>
      </c>
      <c r="B25" s="360">
        <f t="shared" ref="B25:I25" ca="1" si="40">IF(B21&gt;ALLACC,ACCTM,SQRT((B21/12)/ACCEL))</f>
        <v>0.18849744418982947</v>
      </c>
      <c r="C25" s="55">
        <f t="shared" ca="1" si="40"/>
        <v>0.18849744418982947</v>
      </c>
      <c r="D25" s="55">
        <f t="shared" ca="1" si="40"/>
        <v>0.18849744418982947</v>
      </c>
      <c r="E25" s="55">
        <f t="shared" ca="1" si="40"/>
        <v>0.18849744418982947</v>
      </c>
      <c r="F25" s="55">
        <f t="shared" ca="1" si="40"/>
        <v>0.18849744418982947</v>
      </c>
      <c r="G25" s="55">
        <f t="shared" ca="1" si="40"/>
        <v>0.18849744418982947</v>
      </c>
      <c r="H25" s="55">
        <f t="shared" ca="1" si="40"/>
        <v>0.18849744418982947</v>
      </c>
      <c r="I25" s="206">
        <f t="shared" ca="1" si="40"/>
        <v>0.18849744418982947</v>
      </c>
      <c r="K25" s="352" t="s">
        <v>85</v>
      </c>
      <c r="L25" s="360">
        <f t="shared" ref="L25:S25" ca="1" si="41">IF(L21&gt;ALLACC_2,ACCTM_2,SQRT((L21/12)/ACCEL))</f>
        <v>0.18849744418982947</v>
      </c>
      <c r="M25" s="360">
        <f t="shared" ca="1" si="41"/>
        <v>0.18849744418982947</v>
      </c>
      <c r="N25" s="360">
        <f t="shared" ca="1" si="41"/>
        <v>0.18849744418982947</v>
      </c>
      <c r="O25" s="360">
        <f t="shared" ca="1" si="41"/>
        <v>0.18849744418982947</v>
      </c>
      <c r="P25" s="360">
        <f t="shared" ca="1" si="41"/>
        <v>0.18849744418982947</v>
      </c>
      <c r="Q25" s="360">
        <f t="shared" ca="1" si="41"/>
        <v>0.18849744418982947</v>
      </c>
      <c r="R25" s="360">
        <f t="shared" ca="1" si="41"/>
        <v>0.18849744418982947</v>
      </c>
      <c r="S25" s="360">
        <f t="shared" ca="1" si="41"/>
        <v>0.18849744418982947</v>
      </c>
    </row>
    <row r="26" spans="1:19" ht="15.75" thickBot="1" x14ac:dyDescent="0.3">
      <c r="A26" s="352" t="s">
        <v>633</v>
      </c>
      <c r="B26" s="360">
        <f t="shared" ref="B26:I26" ca="1" si="42">(B25*2)+B23+SETTM</f>
        <v>1.3552546107140211</v>
      </c>
      <c r="C26" s="55">
        <f t="shared" ca="1" si="42"/>
        <v>1.4259894336217829</v>
      </c>
      <c r="D26" s="55">
        <f t="shared" ca="1" si="42"/>
        <v>1.4967242565295449</v>
      </c>
      <c r="E26" s="55">
        <f t="shared" ca="1" si="42"/>
        <v>1.5674590794373069</v>
      </c>
      <c r="F26" s="55">
        <f t="shared" ca="1" si="42"/>
        <v>1.6381939023450689</v>
      </c>
      <c r="G26" s="55">
        <f t="shared" ca="1" si="42"/>
        <v>1.7089287252528307</v>
      </c>
      <c r="H26" s="55">
        <f t="shared" ca="1" si="42"/>
        <v>1.7796635481605929</v>
      </c>
      <c r="I26" s="206">
        <f t="shared" ca="1" si="42"/>
        <v>1.8503983710683547</v>
      </c>
      <c r="K26" s="352" t="s">
        <v>633</v>
      </c>
      <c r="L26" s="360">
        <f t="shared" ref="L26:S26" ca="1" si="43">(L25*2)+L23+SETTM</f>
        <v>1.3552546107140211</v>
      </c>
      <c r="M26" s="55">
        <f t="shared" ca="1" si="43"/>
        <v>1.4259894336217829</v>
      </c>
      <c r="N26" s="55">
        <f t="shared" ca="1" si="43"/>
        <v>1.4967242565295449</v>
      </c>
      <c r="O26" s="55">
        <f t="shared" ca="1" si="43"/>
        <v>1.5674590794373069</v>
      </c>
      <c r="P26" s="55">
        <f t="shared" ca="1" si="43"/>
        <v>1.6381939023450689</v>
      </c>
      <c r="Q26" s="55">
        <f t="shared" ca="1" si="43"/>
        <v>1.7089287252528307</v>
      </c>
      <c r="R26" s="55">
        <f t="shared" ca="1" si="43"/>
        <v>1.7796635481605929</v>
      </c>
      <c r="S26" s="206">
        <f t="shared" ca="1" si="43"/>
        <v>1.8503983710683547</v>
      </c>
    </row>
    <row r="27" spans="1:19" ht="15.75" thickBot="1" x14ac:dyDescent="0.3">
      <c r="A27" s="352" t="s">
        <v>634</v>
      </c>
      <c r="B27" s="360">
        <f t="shared" ref="B27:I27" ca="1" si="44">IF(application="Press Feed",B26*(360/FA),B26+FA)</f>
        <v>2.7105092214280422</v>
      </c>
      <c r="C27" s="360">
        <f t="shared" ca="1" si="44"/>
        <v>2.8519788672435658</v>
      </c>
      <c r="D27" s="360">
        <f t="shared" ca="1" si="44"/>
        <v>2.9934485130590898</v>
      </c>
      <c r="E27" s="360">
        <f t="shared" ca="1" si="44"/>
        <v>3.1349181588746138</v>
      </c>
      <c r="F27" s="360">
        <f t="shared" ca="1" si="44"/>
        <v>3.2763878046901378</v>
      </c>
      <c r="G27" s="360">
        <f t="shared" ca="1" si="44"/>
        <v>3.4178574505056614</v>
      </c>
      <c r="H27" s="360">
        <f t="shared" ca="1" si="44"/>
        <v>3.5593270963211858</v>
      </c>
      <c r="I27" s="360">
        <f t="shared" ca="1" si="44"/>
        <v>3.7007967421367094</v>
      </c>
      <c r="K27" s="352" t="s">
        <v>634</v>
      </c>
      <c r="L27" s="360">
        <f t="shared" ref="L27:S27" ca="1" si="45">IF(application="Press Feed",L26*(360/FA_2),L26+FA_2)</f>
        <v>2.0328819160710316</v>
      </c>
      <c r="M27" s="360">
        <f t="shared" ca="1" si="45"/>
        <v>2.1389841504326741</v>
      </c>
      <c r="N27" s="360">
        <f t="shared" ca="1" si="45"/>
        <v>2.2450863847943174</v>
      </c>
      <c r="O27" s="360">
        <f t="shared" ca="1" si="45"/>
        <v>2.3511886191559603</v>
      </c>
      <c r="P27" s="360">
        <f t="shared" ca="1" si="45"/>
        <v>2.4572908535176032</v>
      </c>
      <c r="Q27" s="360">
        <f t="shared" ca="1" si="45"/>
        <v>2.5633930878792461</v>
      </c>
      <c r="R27" s="360">
        <f t="shared" ca="1" si="45"/>
        <v>2.6694953222408895</v>
      </c>
      <c r="S27" s="360">
        <f t="shared" ca="1" si="45"/>
        <v>2.7755975566025319</v>
      </c>
    </row>
    <row r="28" spans="1:19" ht="15.75" thickBot="1" x14ac:dyDescent="0.3">
      <c r="A28" s="352" t="s">
        <v>635</v>
      </c>
      <c r="B28" s="362">
        <f t="shared" ref="B28:I28" ca="1" si="46">IF(60/B27*B21&lt;StrMaxSpInch,ROUNDDOWN(60/B27,0),ROUNDDOWN(StrMaxSpInch/B21,0))</f>
        <v>22</v>
      </c>
      <c r="C28" s="362">
        <f t="shared" ca="1" si="46"/>
        <v>21</v>
      </c>
      <c r="D28" s="362">
        <f t="shared" ca="1" si="46"/>
        <v>20</v>
      </c>
      <c r="E28" s="362">
        <f t="shared" ca="1" si="46"/>
        <v>18</v>
      </c>
      <c r="F28" s="362">
        <f t="shared" ca="1" si="46"/>
        <v>18</v>
      </c>
      <c r="G28" s="362">
        <f t="shared" ca="1" si="46"/>
        <v>17</v>
      </c>
      <c r="H28" s="362">
        <f t="shared" ca="1" si="46"/>
        <v>16</v>
      </c>
      <c r="I28" s="362">
        <f t="shared" ca="1" si="46"/>
        <v>15</v>
      </c>
      <c r="K28" s="352" t="s">
        <v>635</v>
      </c>
      <c r="L28" s="362">
        <f t="shared" ref="L28:S28" ca="1" si="47">IF(60/L27*L21&lt;StrMaxSpInch,ROUNDDOWN(60/L27,0),ROUNDDOWN(StrMaxSpInch/L21,0))</f>
        <v>22</v>
      </c>
      <c r="M28" s="362">
        <f t="shared" ca="1" si="47"/>
        <v>21</v>
      </c>
      <c r="N28" s="362">
        <f t="shared" ca="1" si="47"/>
        <v>20</v>
      </c>
      <c r="O28" s="362">
        <f t="shared" ca="1" si="47"/>
        <v>18</v>
      </c>
      <c r="P28" s="362">
        <f t="shared" ca="1" si="47"/>
        <v>18</v>
      </c>
      <c r="Q28" s="362">
        <f t="shared" ca="1" si="47"/>
        <v>17</v>
      </c>
      <c r="R28" s="362">
        <f t="shared" ca="1" si="47"/>
        <v>16</v>
      </c>
      <c r="S28" s="362">
        <f t="shared" ca="1" si="47"/>
        <v>15</v>
      </c>
    </row>
    <row r="31" spans="1:19" x14ac:dyDescent="0.25">
      <c r="A31" s="600" t="s">
        <v>645</v>
      </c>
      <c r="B31" s="600"/>
      <c r="D31" s="601" t="s">
        <v>825</v>
      </c>
      <c r="E31" s="600"/>
    </row>
    <row r="32" spans="1:19" x14ac:dyDescent="0.25">
      <c r="A32" s="600" t="s">
        <v>917</v>
      </c>
      <c r="B32" s="600">
        <f ca="1">INDIRECT("'" &amp; A$31 &amp; "'!" &amp; A32)</f>
        <v>0.18849744418982947</v>
      </c>
      <c r="D32" s="600" t="s">
        <v>905</v>
      </c>
      <c r="E32" s="600">
        <f t="shared" ref="E32:E66" ca="1" si="48">INDIRECT("'" &amp; $D$31 &amp; "'!" &amp; $D32)</f>
        <v>25</v>
      </c>
    </row>
    <row r="33" spans="1:5" x14ac:dyDescent="0.25">
      <c r="A33" s="600" t="s">
        <v>490</v>
      </c>
      <c r="B33" s="600">
        <f t="shared" ref="B33:B40" ca="1" si="49">INDIRECT("'" &amp; A$31 &amp; "'!" &amp; A33)</f>
        <v>235</v>
      </c>
      <c r="D33" s="600" t="s">
        <v>910</v>
      </c>
      <c r="E33" s="600">
        <f t="shared" ca="1" si="48"/>
        <v>558.23993686786048</v>
      </c>
    </row>
    <row r="34" spans="1:5" x14ac:dyDescent="0.25">
      <c r="A34" s="600" t="s">
        <v>920</v>
      </c>
      <c r="B34" s="600">
        <f t="shared" ca="1" si="49"/>
        <v>634.64736762959069</v>
      </c>
      <c r="D34" s="600" t="s">
        <v>911</v>
      </c>
      <c r="E34" s="600">
        <f t="shared" ca="1" si="48"/>
        <v>558.23993686786048</v>
      </c>
    </row>
    <row r="35" spans="1:5" x14ac:dyDescent="0.25">
      <c r="A35" s="600" t="s">
        <v>921</v>
      </c>
      <c r="B35" s="600">
        <f t="shared" ca="1" si="49"/>
        <v>49.009335489355664</v>
      </c>
      <c r="D35" s="600" t="s">
        <v>914</v>
      </c>
      <c r="E35" s="600" t="str">
        <f t="shared" ca="1" si="48"/>
        <v>Press Feed</v>
      </c>
    </row>
    <row r="36" spans="1:5" x14ac:dyDescent="0.25">
      <c r="A36" s="600" t="s">
        <v>922</v>
      </c>
      <c r="B36" s="600">
        <f t="shared" ca="1" si="49"/>
        <v>918.65670311894633</v>
      </c>
      <c r="D36" s="600" t="s">
        <v>923</v>
      </c>
      <c r="E36" s="600">
        <f t="shared" ca="1" si="48"/>
        <v>180</v>
      </c>
    </row>
    <row r="37" spans="1:5" x14ac:dyDescent="0.25">
      <c r="A37" s="600" t="s">
        <v>928</v>
      </c>
      <c r="B37" s="600">
        <f t="shared" ca="1" si="49"/>
        <v>260</v>
      </c>
      <c r="D37" s="600" t="s">
        <v>924</v>
      </c>
      <c r="E37" s="600">
        <f t="shared" ca="1" si="48"/>
        <v>240</v>
      </c>
    </row>
    <row r="38" spans="1:5" x14ac:dyDescent="0.25">
      <c r="A38" s="600" t="s">
        <v>939</v>
      </c>
      <c r="B38" s="600">
        <f t="shared" ca="1" si="49"/>
        <v>770.2126719649425</v>
      </c>
      <c r="D38" s="600" t="s">
        <v>925</v>
      </c>
      <c r="E38" s="600">
        <f t="shared" ca="1" si="48"/>
        <v>22.200108001080011</v>
      </c>
    </row>
    <row r="39" spans="1:5" x14ac:dyDescent="0.25">
      <c r="A39" s="600" t="s">
        <v>947</v>
      </c>
      <c r="B39" s="600">
        <f t="shared" ca="1" si="49"/>
        <v>0.82398977675931784</v>
      </c>
      <c r="D39" s="600" t="s">
        <v>926</v>
      </c>
      <c r="E39" s="600">
        <f t="shared" ca="1" si="48"/>
        <v>4</v>
      </c>
    </row>
    <row r="40" spans="1:5" x14ac:dyDescent="0.25">
      <c r="A40" s="600" t="s">
        <v>948</v>
      </c>
      <c r="B40" s="600">
        <f t="shared" ca="1" si="49"/>
        <v>7.4309119985621452E-2</v>
      </c>
      <c r="D40" s="600" t="s">
        <v>927</v>
      </c>
      <c r="E40" s="600">
        <f t="shared" ca="1" si="48"/>
        <v>66.81845742005352</v>
      </c>
    </row>
    <row r="41" spans="1:5" x14ac:dyDescent="0.25">
      <c r="D41" s="600" t="s">
        <v>466</v>
      </c>
      <c r="E41" s="600">
        <f t="shared" ca="1" si="48"/>
        <v>1.4400906108970521</v>
      </c>
    </row>
    <row r="42" spans="1:5" x14ac:dyDescent="0.25">
      <c r="D42" s="600" t="s">
        <v>906</v>
      </c>
      <c r="E42" s="600" t="str">
        <f t="shared" ca="1" si="48"/>
        <v>HS Steel</v>
      </c>
    </row>
    <row r="43" spans="1:5" x14ac:dyDescent="0.25">
      <c r="D43" s="600" t="s">
        <v>929</v>
      </c>
      <c r="E43" s="600">
        <f t="shared" ca="1" si="48"/>
        <v>4</v>
      </c>
    </row>
    <row r="44" spans="1:5" x14ac:dyDescent="0.25">
      <c r="D44" s="600" t="s">
        <v>930</v>
      </c>
      <c r="E44" s="600">
        <f t="shared" ca="1" si="48"/>
        <v>0.26963535999999999</v>
      </c>
    </row>
    <row r="45" spans="1:5" x14ac:dyDescent="0.25">
      <c r="D45" s="600" t="s">
        <v>931</v>
      </c>
      <c r="E45" s="600" t="str">
        <f t="shared" ca="1" si="48"/>
        <v>CPRF-S8</v>
      </c>
    </row>
    <row r="46" spans="1:5" x14ac:dyDescent="0.25">
      <c r="D46" s="600" t="s">
        <v>934</v>
      </c>
      <c r="E46" s="600">
        <f t="shared" ca="1" si="48"/>
        <v>1800</v>
      </c>
    </row>
    <row r="47" spans="1:5" x14ac:dyDescent="0.25">
      <c r="D47" s="600" t="s">
        <v>935</v>
      </c>
      <c r="E47" s="600">
        <f t="shared" ca="1" si="48"/>
        <v>797</v>
      </c>
    </row>
    <row r="48" spans="1:5" x14ac:dyDescent="0.25">
      <c r="A48" s="570" t="s">
        <v>999</v>
      </c>
      <c r="B48" s="570"/>
      <c r="D48" s="600" t="s">
        <v>936</v>
      </c>
      <c r="E48" s="600">
        <f t="shared" ca="1" si="48"/>
        <v>1500</v>
      </c>
    </row>
    <row r="49" spans="1:5" x14ac:dyDescent="0.25">
      <c r="A49" s="570" t="s">
        <v>403</v>
      </c>
      <c r="B49" s="570"/>
      <c r="D49" s="600" t="s">
        <v>937</v>
      </c>
      <c r="E49" s="600">
        <f t="shared" ca="1" si="48"/>
        <v>647.25850228899401</v>
      </c>
    </row>
    <row r="50" spans="1:5" x14ac:dyDescent="0.25">
      <c r="A50" s="570" t="s">
        <v>908</v>
      </c>
      <c r="B50" s="570">
        <f t="shared" ref="B50:B59" ca="1" si="50">INDIRECT("'" &amp; $A$49 &amp; "'!" &amp; $A50)</f>
        <v>0.18849744418982947</v>
      </c>
      <c r="D50" s="600" t="s">
        <v>103</v>
      </c>
      <c r="E50" s="600">
        <f t="shared" ca="1" si="48"/>
        <v>11.111000000000001</v>
      </c>
    </row>
    <row r="51" spans="1:5" x14ac:dyDescent="0.25">
      <c r="A51" s="570" t="s">
        <v>909</v>
      </c>
      <c r="B51" s="570">
        <f t="shared" ca="1" si="50"/>
        <v>0.18849744418982947</v>
      </c>
      <c r="D51" s="600" t="s">
        <v>938</v>
      </c>
      <c r="E51" s="600">
        <f t="shared" ca="1" si="48"/>
        <v>0.38829935030184659</v>
      </c>
    </row>
    <row r="52" spans="1:5" x14ac:dyDescent="0.25">
      <c r="A52" s="570" t="s">
        <v>912</v>
      </c>
      <c r="B52" s="570">
        <f t="shared" ca="1" si="50"/>
        <v>10.659385939829363</v>
      </c>
      <c r="D52" s="600" t="s">
        <v>940</v>
      </c>
      <c r="E52" s="600">
        <f t="shared" ca="1" si="48"/>
        <v>411.66289519083347</v>
      </c>
    </row>
    <row r="53" spans="1:5" x14ac:dyDescent="0.25">
      <c r="A53" s="570" t="s">
        <v>913</v>
      </c>
      <c r="B53" s="570">
        <f t="shared" ca="1" si="50"/>
        <v>10.659385939829363</v>
      </c>
      <c r="D53" s="600" t="s">
        <v>941</v>
      </c>
      <c r="E53" s="600">
        <f t="shared" ca="1" si="48"/>
        <v>473.77936174820201</v>
      </c>
    </row>
    <row r="54" spans="1:5" x14ac:dyDescent="0.25">
      <c r="A54" s="570" t="s">
        <v>915</v>
      </c>
      <c r="B54" s="570">
        <f t="shared" ca="1" si="50"/>
        <v>0.82398977675931784</v>
      </c>
      <c r="D54" s="600" t="s">
        <v>942</v>
      </c>
      <c r="E54" s="600" t="str">
        <f t="shared" ca="1" si="48"/>
        <v>Y</v>
      </c>
    </row>
    <row r="55" spans="1:5" x14ac:dyDescent="0.25">
      <c r="A55" s="570" t="s">
        <v>916</v>
      </c>
      <c r="B55" s="570">
        <f t="shared" ca="1" si="50"/>
        <v>0.61799233256948838</v>
      </c>
      <c r="D55" s="600" t="s">
        <v>517</v>
      </c>
      <c r="E55" s="600">
        <f t="shared" ca="1" si="48"/>
        <v>1499.9999999999998</v>
      </c>
    </row>
    <row r="56" spans="1:5" x14ac:dyDescent="0.25">
      <c r="A56" s="570" t="s">
        <v>918</v>
      </c>
      <c r="B56" s="570">
        <f t="shared" ca="1" si="50"/>
        <v>0.41199488837965892</v>
      </c>
      <c r="D56" s="600" t="s">
        <v>943</v>
      </c>
      <c r="E56" s="600">
        <f t="shared" ca="1" si="48"/>
        <v>3.5000000000000003E-2</v>
      </c>
    </row>
    <row r="57" spans="1:5" x14ac:dyDescent="0.25">
      <c r="A57" s="570" t="s">
        <v>919</v>
      </c>
      <c r="B57" s="570">
        <f t="shared" ca="1" si="50"/>
        <v>0.20599744418982946</v>
      </c>
      <c r="D57" s="600" t="s">
        <v>944</v>
      </c>
      <c r="E57" s="600">
        <f t="shared" ca="1" si="48"/>
        <v>50</v>
      </c>
    </row>
    <row r="58" spans="1:5" x14ac:dyDescent="0.25">
      <c r="A58" s="570" t="s">
        <v>932</v>
      </c>
      <c r="B58" s="570">
        <f t="shared" ca="1" si="50"/>
        <v>0.41199488837965892</v>
      </c>
      <c r="D58" s="600" t="s">
        <v>945</v>
      </c>
      <c r="E58" s="600">
        <f t="shared" ca="1" si="48"/>
        <v>120</v>
      </c>
    </row>
    <row r="59" spans="1:5" x14ac:dyDescent="0.25">
      <c r="A59" s="570" t="s">
        <v>933</v>
      </c>
      <c r="B59" s="570">
        <f t="shared" ca="1" si="50"/>
        <v>0.41199488837965892</v>
      </c>
      <c r="D59" s="600" t="s">
        <v>946</v>
      </c>
      <c r="E59" s="600">
        <f t="shared" ca="1" si="48"/>
        <v>1440</v>
      </c>
    </row>
    <row r="60" spans="1:5" x14ac:dyDescent="0.25">
      <c r="D60" s="600" t="s">
        <v>949</v>
      </c>
      <c r="E60" s="600">
        <f t="shared" ca="1" si="48"/>
        <v>4.7124361047457368</v>
      </c>
    </row>
    <row r="61" spans="1:5" x14ac:dyDescent="0.25">
      <c r="D61" s="600" t="s">
        <v>907</v>
      </c>
      <c r="E61" s="600">
        <f t="shared" ca="1" si="48"/>
        <v>42</v>
      </c>
    </row>
    <row r="62" spans="1:5" x14ac:dyDescent="0.25">
      <c r="D62" s="600" t="s">
        <v>980</v>
      </c>
      <c r="E62" s="600">
        <f t="shared" ca="1" si="48"/>
        <v>18</v>
      </c>
    </row>
    <row r="63" spans="1:5" x14ac:dyDescent="0.25">
      <c r="D63" s="600" t="s">
        <v>982</v>
      </c>
      <c r="E63" s="600">
        <f t="shared" ca="1" si="48"/>
        <v>0.25</v>
      </c>
    </row>
    <row r="64" spans="1:5" x14ac:dyDescent="0.25">
      <c r="D64" s="600" t="s">
        <v>984</v>
      </c>
      <c r="E64" s="600">
        <f t="shared" ca="1" si="48"/>
        <v>48</v>
      </c>
    </row>
    <row r="65" spans="4:5" x14ac:dyDescent="0.25">
      <c r="D65" s="600" t="s">
        <v>983</v>
      </c>
      <c r="E65" s="600">
        <f t="shared" ca="1" si="48"/>
        <v>0.28299999999999997</v>
      </c>
    </row>
    <row r="66" spans="4:5" x14ac:dyDescent="0.25">
      <c r="D66" s="600" t="s">
        <v>981</v>
      </c>
      <c r="E66" s="600">
        <f t="shared" ca="1" si="48"/>
        <v>282.74333882308139</v>
      </c>
    </row>
  </sheetData>
  <sheetProtection selectLockedCells="1"/>
  <sortState xmlns:xlrd2="http://schemas.microsoft.com/office/spreadsheetml/2017/richdata2" ref="D32:E61">
    <sortCondition ref="D32:D61"/>
  </sortState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4FE58C-2516-4D37-9A41-DB0F26692F0D}">
  <sheetPr codeName="Sheet29">
    <tabColor theme="1"/>
    <pageSetUpPr fitToPage="1"/>
  </sheetPr>
  <dimension ref="A1:AC228"/>
  <sheetViews>
    <sheetView zoomScale="80" zoomScaleNormal="80" workbookViewId="0">
      <selection activeCell="I17" sqref="I17"/>
    </sheetView>
  </sheetViews>
  <sheetFormatPr defaultRowHeight="15" x14ac:dyDescent="0.25"/>
  <cols>
    <col min="1" max="1" width="15.42578125" customWidth="1"/>
    <col min="2" max="2" width="10.28515625" customWidth="1"/>
    <col min="3" max="3" width="9" customWidth="1"/>
    <col min="4" max="4" width="21.28515625" customWidth="1"/>
    <col min="5" max="5" width="7.85546875" customWidth="1"/>
    <col min="6" max="6" width="12.28515625" customWidth="1"/>
    <col min="7" max="7" width="13.85546875" customWidth="1"/>
    <col min="8" max="8" width="7.28515625" customWidth="1"/>
    <col min="9" max="9" width="9.5703125" style="201" customWidth="1"/>
    <col min="12" max="12" width="12.7109375" customWidth="1"/>
    <col min="13" max="14" width="12.7109375" hidden="1" customWidth="1"/>
    <col min="15" max="15" width="20.7109375" customWidth="1"/>
    <col min="16" max="16" width="16.28515625" customWidth="1"/>
    <col min="17" max="17" width="12.7109375" hidden="1" customWidth="1"/>
    <col min="18" max="18" width="20.7109375" customWidth="1"/>
    <col min="19" max="19" width="14.42578125" customWidth="1"/>
    <col min="20" max="20" width="12.7109375" hidden="1" customWidth="1"/>
  </cols>
  <sheetData>
    <row r="1" spans="1:20" ht="21.75" thickBot="1" x14ac:dyDescent="0.4">
      <c r="E1" s="200" t="s">
        <v>0</v>
      </c>
      <c r="J1" t="str">
        <f ca="1">IF(AND(MPEAK&gt;PEAKTQ,MRMS&gt;RMSTQ,MRMS&gt;RMSTQ_2,ACCTQ&lt;MPEAK,width&gt;=MatWidth),"OK","")</f>
        <v>OK</v>
      </c>
      <c r="L1" s="2"/>
      <c r="M1" s="1005" t="s">
        <v>432</v>
      </c>
      <c r="N1" s="1006"/>
      <c r="O1" s="2"/>
      <c r="P1" s="2"/>
      <c r="Q1" s="202"/>
      <c r="R1" s="2"/>
      <c r="S1" s="2"/>
      <c r="T1" s="202"/>
    </row>
    <row r="2" spans="1:20" ht="17.45" customHeight="1" x14ac:dyDescent="0.25">
      <c r="E2" s="64" t="s">
        <v>433</v>
      </c>
      <c r="L2" s="457" t="s">
        <v>256</v>
      </c>
      <c r="M2" s="203" t="s">
        <v>434</v>
      </c>
      <c r="N2" s="203" t="s">
        <v>435</v>
      </c>
      <c r="O2" s="203" t="str">
        <f>IF(application="Cut to Length", "Blanks/Min (" &amp; $E$19 &amp; " " &amp; $F$19 &amp; ")","SPM @ " &amp; $E$19 &amp; " " &amp; $F$19)</f>
        <v>SPM @ 180 Deg.</v>
      </c>
      <c r="P2" s="203" t="s">
        <v>1112</v>
      </c>
      <c r="Q2" s="203" t="s">
        <v>436</v>
      </c>
      <c r="R2" s="203" t="str">
        <f>IF(application="Cut to Length", "Blanks/Min (" &amp; $E$20 &amp; " " &amp; $F$20 &amp; ")","SPM @ " &amp; $E$20 &amp; " " &amp; $F$20)</f>
        <v>SPM @ 240 Deg.</v>
      </c>
      <c r="S2" s="204" t="s">
        <v>1112</v>
      </c>
      <c r="T2" s="617" t="s">
        <v>437</v>
      </c>
    </row>
    <row r="3" spans="1:20" ht="17.45" customHeight="1" x14ac:dyDescent="0.25">
      <c r="E3" s="64"/>
      <c r="L3" s="613">
        <f ca="1">INDIRECT("'" &amp; $A$101 &amp; "'!B3")</f>
        <v>10.659385939829363</v>
      </c>
      <c r="M3" s="53">
        <f ca="1">INDIRECT("'" &amp; $A$101 &amp; "'!B4")</f>
        <v>420.91360686178393</v>
      </c>
      <c r="N3" s="53">
        <f ca="1">INDIRECT("'" &amp; $A$101 &amp; "'!L4")</f>
        <v>483.51424765023427</v>
      </c>
      <c r="O3" s="53">
        <f ca="1">INDIRECT("'" &amp; $A$101 &amp; "'!B10")</f>
        <v>72.816437402870378</v>
      </c>
      <c r="P3" s="53">
        <f ca="1">($L3*$O3)/12</f>
        <v>64.681542420051784</v>
      </c>
      <c r="Q3" s="55">
        <f ca="1">INDIRECT("'" &amp; $A$101 &amp; "'!B8")</f>
        <v>0.41199488837965892</v>
      </c>
      <c r="R3" s="53">
        <f ca="1">INDIRECT("'" &amp; $A$101 &amp; "'!L10")</f>
        <v>97.08858320382717</v>
      </c>
      <c r="S3" s="619">
        <f ca="1">($L3*$R3)/12</f>
        <v>86.242056560069045</v>
      </c>
      <c r="T3" s="580">
        <f ca="1">INDIRECT("'" &amp; $A$101 &amp; "'!L8")</f>
        <v>0.41199488837965892</v>
      </c>
    </row>
    <row r="4" spans="1:20" ht="17.45" customHeight="1" x14ac:dyDescent="0.25">
      <c r="A4" s="207" t="s">
        <v>1</v>
      </c>
      <c r="B4" s="1004" t="str">
        <f>Customer</f>
        <v>ULTRATECH TOOL&amp; DESIGN, INC.</v>
      </c>
      <c r="C4" s="940"/>
      <c r="D4" s="941"/>
      <c r="E4" s="64"/>
      <c r="L4" s="208">
        <f ca="1">INDIRECT("'" &amp; $A$101 &amp; "'!C3")</f>
        <v>4</v>
      </c>
      <c r="M4" s="53">
        <f ca="1">INDIRECT("'" &amp; $A$101 &amp; "'!C4")</f>
        <v>410.34753791124751</v>
      </c>
      <c r="N4" s="53">
        <f ca="1">INDIRECT("'" &amp; $A$101 &amp; "'!M4")</f>
        <v>471.24849522519128</v>
      </c>
      <c r="O4" s="53">
        <f ca="1">INDIRECT("'" &amp; $A$101 &amp; "'!C10")</f>
        <v>112</v>
      </c>
      <c r="P4" s="53">
        <f t="shared" ref="P4:P26" ca="1" si="0">($L4*$O4)/12</f>
        <v>37.333333333333336</v>
      </c>
      <c r="Q4" s="55">
        <f ca="1">INDIRECT("'" &amp; $A$101 &amp; "'!C8")</f>
        <v>0.2659401076758503</v>
      </c>
      <c r="R4" s="53">
        <f ca="1">INDIRECT("'" &amp; $A$101 &amp; "'!M10")</f>
        <v>150</v>
      </c>
      <c r="S4" s="619">
        <f t="shared" ref="S4:S26" ca="1" si="1">($L4*$R4)/12</f>
        <v>50</v>
      </c>
      <c r="T4" s="580">
        <f ca="1">INDIRECT("'" &amp; $A$101 &amp; "'!M8")</f>
        <v>0.2659401076758503</v>
      </c>
    </row>
    <row r="5" spans="1:20" ht="17.45" customHeight="1" x14ac:dyDescent="0.25">
      <c r="A5" s="207" t="s">
        <v>2</v>
      </c>
      <c r="B5" s="939">
        <f>CalcDate</f>
        <v>0</v>
      </c>
      <c r="C5" s="940"/>
      <c r="D5" s="941"/>
      <c r="L5" s="208">
        <f ca="1">INDIRECT("'" &amp; $A$101 &amp; "'!D3")</f>
        <v>8</v>
      </c>
      <c r="M5" s="53">
        <f ca="1">INDIRECT("'" &amp; $A$101 &amp; "'!D4")</f>
        <v>418.25753428006919</v>
      </c>
      <c r="N5" s="53">
        <f ca="1">INDIRECT("'" &amp; $A$101 &amp; "'!N4")</f>
        <v>480.43122477100496</v>
      </c>
      <c r="O5" s="53">
        <f ca="1">INDIRECT("'" &amp; $A$101 &amp; "'!D10")</f>
        <v>82</v>
      </c>
      <c r="P5" s="53">
        <f t="shared" ca="1" si="0"/>
        <v>54.666666666666664</v>
      </c>
      <c r="Q5" s="55">
        <f ca="1">INDIRECT("'" &amp; $A$101 &amp; "'!D8")</f>
        <v>0.36159863237109036</v>
      </c>
      <c r="R5" s="53">
        <f ca="1">INDIRECT("'" &amp; $A$101 &amp; "'!N10")</f>
        <v>110</v>
      </c>
      <c r="S5" s="619">
        <f t="shared" ca="1" si="1"/>
        <v>73.333333333333329</v>
      </c>
      <c r="T5" s="580">
        <f ca="1">INDIRECT("'" &amp; $A$101 &amp; "'!N8")</f>
        <v>0.36159863237109036</v>
      </c>
    </row>
    <row r="6" spans="1:20" ht="17.45" customHeight="1" x14ac:dyDescent="0.25">
      <c r="A6" s="207" t="s">
        <v>131</v>
      </c>
      <c r="B6" s="1004">
        <f>Reference</f>
        <v>0</v>
      </c>
      <c r="C6" s="940"/>
      <c r="D6" s="941"/>
      <c r="L6" s="208">
        <f ca="1">INDIRECT("'" &amp; $A$101 &amp; "'!E3")</f>
        <v>12</v>
      </c>
      <c r="M6" s="53">
        <f ca="1">INDIRECT("'" &amp; $A$101 &amp; "'!E4")</f>
        <v>409.93057728737961</v>
      </c>
      <c r="N6" s="53">
        <f ca="1">INDIRECT("'" &amp; $A$101 &amp; "'!O4")</f>
        <v>470.76439190511837</v>
      </c>
      <c r="O6" s="53">
        <f ca="1">INDIRECT("'" &amp; $A$101 &amp; "'!E10")</f>
        <v>68</v>
      </c>
      <c r="P6" s="53">
        <f t="shared" ca="1" si="0"/>
        <v>68</v>
      </c>
      <c r="Q6" s="55">
        <f ca="1">INDIRECT("'" &amp; $A$101 &amp; "'!E8")</f>
        <v>0.43570191291311533</v>
      </c>
      <c r="R6" s="53">
        <f ca="1">INDIRECT("'" &amp; $A$101 &amp; "'!O10")</f>
        <v>91</v>
      </c>
      <c r="S6" s="619">
        <f t="shared" ca="1" si="1"/>
        <v>91</v>
      </c>
      <c r="T6" s="580">
        <f ca="1">INDIRECT("'" &amp; $A$101 &amp; "'!O8")</f>
        <v>0.43570191291311533</v>
      </c>
    </row>
    <row r="7" spans="1:20" ht="17.45" customHeight="1" x14ac:dyDescent="0.25">
      <c r="L7" s="208">
        <f ca="1">INDIRECT("'" &amp; $A$101 &amp; "'!F3")</f>
        <v>16</v>
      </c>
      <c r="M7" s="53">
        <f ca="1">INDIRECT("'" &amp; $A$101 &amp; "'!F4")</f>
        <v>381.9601348427023</v>
      </c>
      <c r="N7" s="53">
        <f ca="1">INDIRECT("'" &amp; $A$101 &amp; "'!P4")</f>
        <v>438.27662638754839</v>
      </c>
      <c r="O7" s="53">
        <f ca="1">INDIRECT("'" &amp; $A$101 &amp; "'!F10")</f>
        <v>59</v>
      </c>
      <c r="P7" s="53">
        <f t="shared" ca="1" si="0"/>
        <v>78.666666666666671</v>
      </c>
      <c r="Q7" s="55">
        <f ca="1">INDIRECT("'" &amp; $A$101 &amp; "'!F8")</f>
        <v>0.50643673582087734</v>
      </c>
      <c r="R7" s="53">
        <f ca="1">INDIRECT("'" &amp; $A$101 &amp; "'!P10")</f>
        <v>78</v>
      </c>
      <c r="S7" s="619">
        <f t="shared" ca="1" si="1"/>
        <v>104</v>
      </c>
      <c r="T7" s="580">
        <f ca="1">INDIRECT("'" &amp; $A$101 &amp; "'!P8")</f>
        <v>0.50643673582087734</v>
      </c>
    </row>
    <row r="8" spans="1:20" ht="17.45" customHeight="1" x14ac:dyDescent="0.25">
      <c r="A8" s="209" t="s">
        <v>438</v>
      </c>
      <c r="B8" s="1008" t="str">
        <f>SelectedApplication</f>
        <v>Press Feed</v>
      </c>
      <c r="C8" s="1008"/>
      <c r="L8" s="208">
        <f ca="1">INDIRECT("'" &amp; $A$101 &amp; "'!G3")</f>
        <v>20</v>
      </c>
      <c r="M8" s="53">
        <f ca="1">INDIRECT("'" &amp; $A$101 &amp; "'!G4")</f>
        <v>359.40652418031101</v>
      </c>
      <c r="N8" s="53">
        <f ca="1">INDIRECT("'" &amp; $A$101 &amp; "'!Q4")</f>
        <v>412.05874329202965</v>
      </c>
      <c r="O8" s="53">
        <f ca="1">INDIRECT("'" &amp; $A$101 &amp; "'!G10")</f>
        <v>51</v>
      </c>
      <c r="P8" s="53">
        <f t="shared" ca="1" si="0"/>
        <v>85</v>
      </c>
      <c r="Q8" s="55">
        <f ca="1">INDIRECT("'" &amp; $A$101 &amp; "'!G8")</f>
        <v>0.57717155872863934</v>
      </c>
      <c r="R8" s="53">
        <f ca="1">INDIRECT("'" &amp; $A$101 &amp; "'!Q10")</f>
        <v>69</v>
      </c>
      <c r="S8" s="619">
        <f t="shared" ca="1" si="1"/>
        <v>115</v>
      </c>
      <c r="T8" s="580">
        <f ca="1">INDIRECT("'" &amp; $A$101 &amp; "'!Q8")</f>
        <v>0.57717155872863934</v>
      </c>
    </row>
    <row r="9" spans="1:20" ht="17.45" customHeight="1" x14ac:dyDescent="0.25">
      <c r="A9" s="18" t="s">
        <v>160</v>
      </c>
      <c r="B9" s="1039" t="str">
        <f>'Sigma 5 Feed (1)'!model</f>
        <v>CPRF-S8</v>
      </c>
      <c r="C9" s="1039"/>
      <c r="E9" s="210" t="s">
        <v>441</v>
      </c>
      <c r="F9" s="211" t="str">
        <f>VLOOKUP(model,LookupSigma5Feed,14)</f>
        <v>YASKAWA SGMGV-1EDDA61</v>
      </c>
      <c r="L9" s="208">
        <f ca="1">INDIRECT("'" &amp; $A$101 &amp; "'!H3")</f>
        <v>24</v>
      </c>
      <c r="M9" s="53">
        <f ca="1">INDIRECT("'" &amp; $A$101 &amp; "'!H4")</f>
        <v>340.73957258790955</v>
      </c>
      <c r="N9" s="53">
        <f ca="1">INDIRECT("'" &amp; $A$101 &amp; "'!R4")</f>
        <v>390.34123985144743</v>
      </c>
      <c r="O9" s="53">
        <f ca="1">INDIRECT("'" &amp; $A$101 &amp; "'!H10")</f>
        <v>46</v>
      </c>
      <c r="P9" s="53">
        <f t="shared" ca="1" si="0"/>
        <v>92</v>
      </c>
      <c r="Q9" s="55">
        <f ca="1">INDIRECT("'" &amp; $A$101 &amp; "'!H8")</f>
        <v>0.64790638163640135</v>
      </c>
      <c r="R9" s="53">
        <f ca="1">INDIRECT("'" &amp; $A$101 &amp; "'!R10")</f>
        <v>60</v>
      </c>
      <c r="S9" s="619">
        <f t="shared" ca="1" si="1"/>
        <v>120</v>
      </c>
      <c r="T9" s="580">
        <f ca="1">INDIRECT("'" &amp; $A$101 &amp; "'!R8")</f>
        <v>0.64790638163640135</v>
      </c>
    </row>
    <row r="10" spans="1:20" ht="17.45" customHeight="1" x14ac:dyDescent="0.25">
      <c r="A10" s="18" t="s">
        <v>442</v>
      </c>
      <c r="B10" s="582">
        <f>'Sigma 5 Feed (1)'!width</f>
        <v>42</v>
      </c>
      <c r="E10" s="210" t="s">
        <v>443</v>
      </c>
      <c r="F10" s="211" t="str">
        <f>VLOOKUP(model,LookupSigma5Feed,15)</f>
        <v>YASKAWA SGDV-370DE1A000000300</v>
      </c>
      <c r="L10" s="208">
        <f ca="1">INDIRECT("'" &amp; $A$101 &amp; "'!I3")</f>
        <v>28</v>
      </c>
      <c r="M10" s="53">
        <f ca="1">INDIRECT("'" &amp; $A$101 &amp; "'!I4")</f>
        <v>324.97185366163211</v>
      </c>
      <c r="N10" s="53">
        <f ca="1">INDIRECT("'" &amp; $A$101 &amp; "'!S4")</f>
        <v>371.98201030239784</v>
      </c>
      <c r="O10" s="53">
        <f ca="1">INDIRECT("'" &amp; $A$101 &amp; "'!I10")</f>
        <v>41</v>
      </c>
      <c r="P10" s="53">
        <f t="shared" ca="1" si="0"/>
        <v>95.666666666666671</v>
      </c>
      <c r="Q10" s="55">
        <f ca="1">INDIRECT("'" &amp; $A$101 &amp; "'!I8")</f>
        <v>0.71864120454416336</v>
      </c>
      <c r="R10" s="53">
        <f ca="1">INDIRECT("'" &amp; $A$101 &amp; "'!S10")</f>
        <v>51</v>
      </c>
      <c r="S10" s="619">
        <f t="shared" ca="1" si="1"/>
        <v>119</v>
      </c>
      <c r="T10" s="580">
        <f ca="1">INDIRECT("'" &amp; $A$101 &amp; "'!S8")</f>
        <v>0.71864120454416336</v>
      </c>
    </row>
    <row r="11" spans="1:20" ht="17.45" customHeight="1" x14ac:dyDescent="0.25">
      <c r="A11" s="18" t="s">
        <v>444</v>
      </c>
      <c r="B11" s="582" t="str">
        <f>'Sigma 5 Feed (1)'!$B$11</f>
        <v>N</v>
      </c>
      <c r="L11" s="208">
        <f ca="1">INDIRECT("'" &amp; $A$101 &amp; "'!B12")</f>
        <v>32</v>
      </c>
      <c r="M11" s="53">
        <f ca="1">INDIRECT("'" &amp; $A$101 &amp; "'!B13")</f>
        <v>311.43402470162943</v>
      </c>
      <c r="N11" s="53">
        <f ca="1">INDIRECT("'" &amp; $A$101 &amp; "'!L13")</f>
        <v>356.20669666367917</v>
      </c>
      <c r="O11" s="53">
        <f ca="1">INDIRECT("'" &amp; $A$101 &amp; "'!B19")</f>
        <v>38</v>
      </c>
      <c r="P11" s="53">
        <f t="shared" ca="1" si="0"/>
        <v>101.33333333333333</v>
      </c>
      <c r="Q11" s="55">
        <f ca="1">INDIRECT("'" &amp; $A$101 &amp; "'!B17")</f>
        <v>0.78937602745192526</v>
      </c>
      <c r="R11" s="53">
        <f ca="1">INDIRECT("'" &amp; $A$101 &amp; "'!L19")</f>
        <v>45</v>
      </c>
      <c r="S11" s="619">
        <f t="shared" ca="1" si="1"/>
        <v>120</v>
      </c>
      <c r="T11" s="580">
        <f ca="1">INDIRECT("'" &amp; $A$101 &amp; "'!L17")</f>
        <v>0.78937602745192526</v>
      </c>
    </row>
    <row r="12" spans="1:20" ht="17.45" customHeight="1" x14ac:dyDescent="0.25">
      <c r="A12" s="18" t="s">
        <v>446</v>
      </c>
      <c r="B12" s="582" t="str">
        <f>'Sigma 5 Feed (1)'!ROLLWIDTH</f>
        <v>Y</v>
      </c>
      <c r="D12" s="516" t="s">
        <v>63</v>
      </c>
      <c r="E12" s="915" t="str">
        <f>Material_2</f>
        <v>HS Steel</v>
      </c>
      <c r="F12" s="915"/>
      <c r="L12" s="208">
        <f ca="1">INDIRECT("'" &amp; $A$101 &amp; "'!C12")</f>
        <v>36</v>
      </c>
      <c r="M12" s="53">
        <f ca="1">INDIRECT("'" &amp; $A$101 &amp; "'!C13")</f>
        <v>299.65425114638458</v>
      </c>
      <c r="N12" s="53">
        <f ca="1">INDIRECT("'" &amp; $A$101 &amp; "'!M13")</f>
        <v>342.46932037635747</v>
      </c>
      <c r="O12" s="53">
        <f ca="1">INDIRECT("'" &amp; $A$101 &amp; "'!C19")</f>
        <v>34</v>
      </c>
      <c r="P12" s="53">
        <f t="shared" ca="1" si="0"/>
        <v>102</v>
      </c>
      <c r="Q12" s="55">
        <f ca="1">INDIRECT("'" &amp; $A$101 &amp; "'!C17")</f>
        <v>0.86011085035968726</v>
      </c>
      <c r="R12" s="53">
        <f ca="1">INDIRECT("'" &amp; $A$101 &amp; "'!M19")</f>
        <v>40</v>
      </c>
      <c r="S12" s="619">
        <f t="shared" ca="1" si="1"/>
        <v>120</v>
      </c>
      <c r="T12" s="580">
        <f ca="1">INDIRECT("'" &amp; $A$101 &amp; "'!M17")</f>
        <v>0.86011085035968726</v>
      </c>
    </row>
    <row r="13" spans="1:20" ht="17.45" customHeight="1" x14ac:dyDescent="0.25">
      <c r="L13" s="208">
        <f ca="1">INDIRECT("'" &amp; $A$101 &amp; "'!D12")</f>
        <v>40</v>
      </c>
      <c r="M13" s="53">
        <f ca="1">INDIRECT("'" &amp; $A$101 &amp; "'!D13")</f>
        <v>289.28914908136568</v>
      </c>
      <c r="N13" s="53">
        <f ca="1">INDIRECT("'" &amp; $A$101 &amp; "'!N13")</f>
        <v>330.37245263571492</v>
      </c>
      <c r="O13" s="53">
        <f ca="1">INDIRECT("'" &amp; $A$101 &amp; "'!D19")</f>
        <v>32</v>
      </c>
      <c r="P13" s="53">
        <f t="shared" ca="1" si="0"/>
        <v>106.66666666666667</v>
      </c>
      <c r="Q13" s="55">
        <f ca="1">INDIRECT("'" &amp; $A$101 &amp; "'!D17")</f>
        <v>0.93084567326744916</v>
      </c>
      <c r="R13" s="53">
        <f ca="1">INDIRECT("'" &amp; $A$101 &amp; "'!N19")</f>
        <v>36</v>
      </c>
      <c r="S13" s="619">
        <f t="shared" ca="1" si="1"/>
        <v>120</v>
      </c>
      <c r="T13" s="580">
        <f ca="1">INDIRECT("'" &amp; $A$101 &amp; "'!N17")</f>
        <v>0.93084567326744916</v>
      </c>
    </row>
    <row r="14" spans="1:20" ht="17.45" customHeight="1" x14ac:dyDescent="0.25">
      <c r="A14" s="1003" t="s">
        <v>63</v>
      </c>
      <c r="B14" s="50" t="s">
        <v>447</v>
      </c>
      <c r="C14" s="50" t="s">
        <v>448</v>
      </c>
      <c r="D14" s="50" t="str">
        <f>IF(application="Press Feed","Press Bed Length", IF(application="Cut to Length", "Maximum Blank Length","Ln. FLT"))</f>
        <v>Press Bed Length</v>
      </c>
      <c r="E14" s="50" t="s">
        <v>449</v>
      </c>
      <c r="F14" s="50" t="s">
        <v>450</v>
      </c>
      <c r="G14" s="212"/>
      <c r="L14" s="208">
        <f ca="1">INDIRECT("'" &amp; $A$101 &amp; "'!E12")</f>
        <v>44</v>
      </c>
      <c r="M14" s="53">
        <f ca="1">INDIRECT("'" &amp; $A$101 &amp; "'!E13")</f>
        <v>280.08210607254625</v>
      </c>
      <c r="N14" s="53">
        <f ca="1">INDIRECT("'" &amp; $A$101 &amp; "'!O13")</f>
        <v>319.61902834721985</v>
      </c>
      <c r="O14" s="53">
        <f ca="1">INDIRECT("'" &amp; $A$101 &amp; "'!E19")</f>
        <v>29</v>
      </c>
      <c r="P14" s="53">
        <f t="shared" ca="1" si="0"/>
        <v>106.33333333333333</v>
      </c>
      <c r="Q14" s="55">
        <f ca="1">INDIRECT("'" &amp; $A$101 &amp; "'!E17")</f>
        <v>1.0015804961752111</v>
      </c>
      <c r="R14" s="53">
        <f ca="1">INDIRECT("'" &amp; $A$101 &amp; "'!O19")</f>
        <v>32</v>
      </c>
      <c r="S14" s="619">
        <f t="shared" ca="1" si="1"/>
        <v>117.33333333333333</v>
      </c>
      <c r="T14" s="580">
        <f ca="1">INDIRECT("'" &amp; $A$101 &amp; "'!O17")</f>
        <v>1.0015804961752111</v>
      </c>
    </row>
    <row r="15" spans="1:20" ht="17.45" customHeight="1" x14ac:dyDescent="0.25">
      <c r="A15" s="1003"/>
      <c r="B15" s="582">
        <f>CoilWidth_2</f>
        <v>16</v>
      </c>
      <c r="C15" s="597">
        <f>Thickness_2</f>
        <v>0.3</v>
      </c>
      <c r="D15" s="694">
        <f>'Sigma 5 Feed (1)'!MatLnFLT</f>
        <v>48</v>
      </c>
      <c r="E15" s="582">
        <f>VLOOKUP(material,LookupMaterial,4,FALSE)</f>
        <v>0.28299999999999997</v>
      </c>
      <c r="F15" s="217">
        <f>IF(B11="Y", C15*360*PI()*2, C15*360*PI())</f>
        <v>339.29200658769764</v>
      </c>
      <c r="L15" s="208">
        <f ca="1">INDIRECT("'" &amp; $A$101 &amp; "'!F12")</f>
        <v>48</v>
      </c>
      <c r="M15" s="53">
        <f ca="1">INDIRECT("'" &amp; $A$101 &amp; "'!F13")</f>
        <v>271.83701526165311</v>
      </c>
      <c r="N15" s="53">
        <f ca="1">INDIRECT("'" &amp; $A$101 &amp; "'!P13")</f>
        <v>309.98197621914915</v>
      </c>
      <c r="O15" s="53">
        <f ca="1">INDIRECT("'" &amp; $A$101 &amp; "'!F19")</f>
        <v>27</v>
      </c>
      <c r="P15" s="53">
        <f t="shared" ca="1" si="0"/>
        <v>108</v>
      </c>
      <c r="Q15" s="55">
        <f ca="1">INDIRECT("'" &amp; $A$101 &amp; "'!F17")</f>
        <v>1.0723153190829731</v>
      </c>
      <c r="R15" s="53">
        <f ca="1">INDIRECT("'" &amp; $A$101 &amp; "'!P19")</f>
        <v>30</v>
      </c>
      <c r="S15" s="619">
        <f t="shared" ca="1" si="1"/>
        <v>120</v>
      </c>
      <c r="T15" s="580">
        <f ca="1">INDIRECT("'" &amp; $A$101 &amp; "'!P17")</f>
        <v>1.0723153190829731</v>
      </c>
    </row>
    <row r="16" spans="1:20" ht="17.45" customHeight="1" x14ac:dyDescent="0.25">
      <c r="A16" s="218"/>
      <c r="L16" s="208">
        <f ca="1">INDIRECT("'" &amp; $A$101 &amp; "'!G12")</f>
        <v>52</v>
      </c>
      <c r="M16" s="53">
        <f ca="1">INDIRECT("'" &amp; $A$101 &amp; "'!G13")</f>
        <v>264.40111130539407</v>
      </c>
      <c r="N16" s="53">
        <f ca="1">INDIRECT("'" &amp; $A$101 &amp; "'!Q13")</f>
        <v>301.28437060626527</v>
      </c>
      <c r="O16" s="53">
        <f ca="1">INDIRECT("'" &amp; $A$101 &amp; "'!G19")</f>
        <v>26</v>
      </c>
      <c r="P16" s="53">
        <f t="shared" ca="1" si="0"/>
        <v>112.66666666666667</v>
      </c>
      <c r="Q16" s="55">
        <f ca="1">INDIRECT("'" &amp; $A$101 &amp; "'!G17")</f>
        <v>1.1430501419907351</v>
      </c>
      <c r="R16" s="53">
        <f ca="1">INDIRECT("'" &amp; $A$101 &amp; "'!Q19")</f>
        <v>27</v>
      </c>
      <c r="S16" s="619">
        <f t="shared" ca="1" si="1"/>
        <v>117</v>
      </c>
      <c r="T16" s="580">
        <f ca="1">INDIRECT("'" &amp; $A$101 &amp; "'!Q17")</f>
        <v>1.1430501419907351</v>
      </c>
    </row>
    <row r="17" spans="1:20" ht="17.45" customHeight="1" x14ac:dyDescent="0.25">
      <c r="A17" s="219" t="s">
        <v>451</v>
      </c>
      <c r="B17" s="685">
        <f>IF(SelectedStrUsed="Yes", 'Str. Utility (1)'!fpm, $B$24)</f>
        <v>120</v>
      </c>
      <c r="C17" s="212" t="s">
        <v>452</v>
      </c>
      <c r="D17" s="220" t="s">
        <v>453</v>
      </c>
      <c r="E17" s="582">
        <f>'Sigma 5 Feed (1)'!MINLN</f>
        <v>4</v>
      </c>
      <c r="F17" s="212" t="s">
        <v>336</v>
      </c>
      <c r="L17" s="208">
        <f ca="1">INDIRECT("'" &amp; $A$101 &amp; "'!H12")</f>
        <v>56</v>
      </c>
      <c r="M17" s="53">
        <f ca="1">INDIRECT("'" &amp; $A$101 &amp; "'!H13")</f>
        <v>257.653402029098</v>
      </c>
      <c r="N17" s="53">
        <f ca="1">INDIRECT("'" &amp; $A$101 &amp; "'!R13")</f>
        <v>293.38605260271123</v>
      </c>
      <c r="O17" s="53">
        <f ca="1">INDIRECT("'" &amp; $A$101 &amp; "'!H19")</f>
        <v>24</v>
      </c>
      <c r="P17" s="53">
        <f t="shared" ca="1" si="0"/>
        <v>112</v>
      </c>
      <c r="Q17" s="55">
        <f ca="1">INDIRECT("'" &amp; $A$101 &amp; "'!H17")</f>
        <v>1.2137849648984971</v>
      </c>
      <c r="R17" s="53">
        <f ca="1">INDIRECT("'" &amp; $A$101 &amp; "'!R19")</f>
        <v>25</v>
      </c>
      <c r="S17" s="619">
        <f t="shared" ca="1" si="1"/>
        <v>116.66666666666667</v>
      </c>
      <c r="T17" s="580">
        <f ca="1">INDIRECT("'" &amp; $A$101 &amp; "'!R17")</f>
        <v>1.2137849648984971</v>
      </c>
    </row>
    <row r="18" spans="1:20" ht="17.45" customHeight="1" x14ac:dyDescent="0.25">
      <c r="A18" s="220" t="s">
        <v>454</v>
      </c>
      <c r="B18" s="582">
        <f>'Sigma 5 Feed (1)'!$B$18</f>
        <v>30</v>
      </c>
      <c r="C18" s="212" t="s">
        <v>40</v>
      </c>
      <c r="D18" s="220" t="s">
        <v>455</v>
      </c>
      <c r="E18" s="582">
        <f>'Sigma 5 Feed (1)'!INCR</f>
        <v>4</v>
      </c>
      <c r="F18" s="212" t="s">
        <v>336</v>
      </c>
      <c r="L18" s="208">
        <f ca="1">INDIRECT("'" &amp; $A$101 &amp; "'!I12")</f>
        <v>60</v>
      </c>
      <c r="M18" s="53">
        <f ca="1">INDIRECT("'" &amp; $A$101 &amp; "'!I13")</f>
        <v>251.49666082069032</v>
      </c>
      <c r="N18" s="53">
        <f ca="1">INDIRECT("'" &amp; $A$101 &amp; "'!S13")</f>
        <v>286.17436811179761</v>
      </c>
      <c r="O18" s="53">
        <f ca="1">INDIRECT("'" &amp; $A$101 &amp; "'!I19")</f>
        <v>23</v>
      </c>
      <c r="P18" s="53">
        <f t="shared" ca="1" si="0"/>
        <v>115</v>
      </c>
      <c r="Q18" s="55">
        <f ca="1">INDIRECT("'" &amp; $A$101 &amp; "'!I17")</f>
        <v>1.2845197878062589</v>
      </c>
      <c r="R18" s="53">
        <f ca="1">INDIRECT("'" &amp; $A$101 &amp; "'!S19")</f>
        <v>24</v>
      </c>
      <c r="S18" s="619">
        <f t="shared" ca="1" si="1"/>
        <v>120</v>
      </c>
      <c r="T18" s="580">
        <f ca="1">INDIRECT("'" &amp; $A$101 &amp; "'!S17")</f>
        <v>1.2845197878062589</v>
      </c>
    </row>
    <row r="19" spans="1:20" ht="17.45" customHeight="1" x14ac:dyDescent="0.25">
      <c r="A19" s="220" t="s">
        <v>456</v>
      </c>
      <c r="B19" s="693">
        <v>25</v>
      </c>
      <c r="C19" s="212" t="s">
        <v>457</v>
      </c>
      <c r="D19" s="458" t="str">
        <f>IF(application="Cut to Length","Shear Cyc Tim 1", "Feed Angle 1")</f>
        <v>Feed Angle 1</v>
      </c>
      <c r="E19" s="582">
        <f>'Sigma 5 Feed (1)'!FA</f>
        <v>180</v>
      </c>
      <c r="F19" s="212" t="str">
        <f>IF(application="Cut to Length","Sec.", "Deg.")</f>
        <v>Deg.</v>
      </c>
      <c r="G19" s="5" t="s">
        <v>458</v>
      </c>
      <c r="H19" s="221">
        <f ca="1">regen</f>
        <v>772.52169078492909</v>
      </c>
      <c r="I19" s="222" t="s">
        <v>459</v>
      </c>
      <c r="L19" s="208">
        <f ca="1">INDIRECT("'" &amp; $A$101 &amp; "'!B21")</f>
        <v>64</v>
      </c>
      <c r="M19" s="53">
        <f ca="1">INDIRECT("'" &amp; $A$101 &amp; "'!B22")</f>
        <v>245.85175340619659</v>
      </c>
      <c r="N19" s="53">
        <f ca="1">INDIRECT("'" &amp; $A$101 &amp; "'!L22")</f>
        <v>279.55760520766603</v>
      </c>
      <c r="O19" s="53">
        <f ca="1">INDIRECT("'" &amp; $A$101 &amp; "'!B28")</f>
        <v>22</v>
      </c>
      <c r="P19" s="53">
        <f t="shared" ca="1" si="0"/>
        <v>117.33333333333333</v>
      </c>
      <c r="Q19" s="55">
        <f ca="1">INDIRECT("'" &amp; $A$101 &amp; "'!B26")</f>
        <v>1.3552546107140211</v>
      </c>
      <c r="R19" s="53">
        <f ca="1">INDIRECT("'" &amp; $A$101 &amp; "'!L28")</f>
        <v>22</v>
      </c>
      <c r="S19" s="619">
        <f t="shared" ca="1" si="1"/>
        <v>117.33333333333333</v>
      </c>
      <c r="T19" s="580">
        <f ca="1">INDIRECT("'" &amp; $A$101 &amp; "'!L26")</f>
        <v>1.3552546107140211</v>
      </c>
    </row>
    <row r="20" spans="1:20" ht="17.45" customHeight="1" x14ac:dyDescent="0.25">
      <c r="A20" s="220" t="s">
        <v>1386</v>
      </c>
      <c r="B20" s="697">
        <f>_xlfn.XLOOKUP(model, tblSigma5[Model], tblSigma5[Acceleration], 0, 0, 1)</f>
        <v>25</v>
      </c>
      <c r="C20" s="212" t="s">
        <v>457</v>
      </c>
      <c r="D20" s="458" t="str">
        <f>IF(application="Cut to Length","Shear Cyc Tim 2", "Feed Angle 2")</f>
        <v>Feed Angle 2</v>
      </c>
      <c r="E20" s="582">
        <f>'Sigma 5 Feed (1)'!FA_2</f>
        <v>240</v>
      </c>
      <c r="F20" s="212" t="str">
        <f>IF(application="Cut to Length","Sec.", "Deg.")</f>
        <v>Deg.</v>
      </c>
      <c r="L20" s="208">
        <f ca="1">INDIRECT("'" &amp; $A$101 &amp; "'!C21")</f>
        <v>68</v>
      </c>
      <c r="M20" s="53">
        <f ca="1">INDIRECT("'" &amp; $A$101 &amp; "'!C22")</f>
        <v>240.65353543573715</v>
      </c>
      <c r="N20" s="53">
        <f ca="1">INDIRECT("'" &amp; $A$101 &amp; "'!M22")</f>
        <v>273.46024802373563</v>
      </c>
      <c r="O20" s="53">
        <f ca="1">INDIRECT("'" &amp; $A$101 &amp; "'!C28")</f>
        <v>21</v>
      </c>
      <c r="P20" s="53">
        <f t="shared" ca="1" si="0"/>
        <v>119</v>
      </c>
      <c r="Q20" s="55">
        <f ca="1">INDIRECT("'" &amp; $A$101 &amp; "'!C26")</f>
        <v>1.4259894336217829</v>
      </c>
      <c r="R20" s="53">
        <f ca="1">INDIRECT("'" &amp; $A$101 &amp; "'!M28")</f>
        <v>21</v>
      </c>
      <c r="S20" s="619">
        <f t="shared" ca="1" si="1"/>
        <v>119</v>
      </c>
      <c r="T20" s="580">
        <f ca="1">INDIRECT("'" &amp; $A$101 &amp; "'!M26")</f>
        <v>1.4259894336217829</v>
      </c>
    </row>
    <row r="21" spans="1:20" ht="17.45" customHeight="1" x14ac:dyDescent="0.25">
      <c r="G21" s="5" t="s">
        <v>460</v>
      </c>
      <c r="H21" s="223">
        <f ca="1">VLOOKUP(model,LookupInertia,2)</f>
        <v>0.38966198312712225</v>
      </c>
      <c r="I21" s="222" t="s">
        <v>461</v>
      </c>
      <c r="L21" s="208">
        <f ca="1">INDIRECT("'" &amp; $A$101 &amp; "'!D21")</f>
        <v>72</v>
      </c>
      <c r="M21" s="53">
        <f ca="1">INDIRECT("'" &amp; $A$101 &amp; "'!D22")</f>
        <v>235.84783165704204</v>
      </c>
      <c r="N21" s="53">
        <f ca="1">INDIRECT("'" &amp; $A$101 &amp; "'!N22")</f>
        <v>267.81948153314283</v>
      </c>
      <c r="O21" s="53">
        <f ca="1">INDIRECT("'" &amp; $A$101 &amp; "'!D28")</f>
        <v>20</v>
      </c>
      <c r="P21" s="53">
        <f t="shared" ca="1" si="0"/>
        <v>120</v>
      </c>
      <c r="Q21" s="55">
        <f ca="1">INDIRECT("'" &amp; $A$101 &amp; "'!D26")</f>
        <v>1.4967242565295449</v>
      </c>
      <c r="R21" s="53">
        <f ca="1">INDIRECT("'" &amp; $A$101 &amp; "'!N28")</f>
        <v>20</v>
      </c>
      <c r="S21" s="619">
        <f t="shared" ca="1" si="1"/>
        <v>120</v>
      </c>
      <c r="T21" s="580">
        <f ca="1">INDIRECT("'" &amp; $A$101 &amp; "'!N26")</f>
        <v>1.4967242565295449</v>
      </c>
    </row>
    <row r="22" spans="1:20" ht="17.45" customHeight="1" x14ac:dyDescent="0.25">
      <c r="A22" s="5" t="s">
        <v>462</v>
      </c>
      <c r="B22" s="224">
        <f>VLOOKUP(model,LookupSigma5Feed, 3)</f>
        <v>1500</v>
      </c>
      <c r="C22" s="225" t="s">
        <v>463</v>
      </c>
      <c r="D22" s="5" t="s">
        <v>464</v>
      </c>
      <c r="E22" s="224">
        <f>VLOOKUP(model,LookupSigma5Feed,5)</f>
        <v>1800</v>
      </c>
      <c r="F22" s="212" t="s">
        <v>465</v>
      </c>
      <c r="G22" s="5" t="s">
        <v>466</v>
      </c>
      <c r="H22" s="226">
        <f ca="1">reflin/MINT</f>
        <v>1.44514422413708</v>
      </c>
      <c r="I22" s="227" t="str">
        <f ca="1">IF(MATCH&gt;12,"EXCESS",IF(AND(MATCH&gt;=10,MATCH&lt;12), "CAUTION","OK"))</f>
        <v>OK</v>
      </c>
      <c r="L22" s="208">
        <f ca="1">INDIRECT("'" &amp; $A$101 &amp; "'!E21")</f>
        <v>76</v>
      </c>
      <c r="M22" s="53">
        <f ca="1">INDIRECT("'" &amp; $A$101 &amp; "'!E22")</f>
        <v>231.38917519858271</v>
      </c>
      <c r="N22" s="53">
        <f ca="1">INDIRECT("'" &amp; $A$101 &amp; "'!O22")</f>
        <v>262.58257550280075</v>
      </c>
      <c r="O22" s="53">
        <f ca="1">INDIRECT("'" &amp; $A$101 &amp; "'!E28")</f>
        <v>18</v>
      </c>
      <c r="P22" s="53">
        <f t="shared" ca="1" si="0"/>
        <v>114</v>
      </c>
      <c r="Q22" s="55">
        <f ca="1">INDIRECT("'" &amp; $A$101 &amp; "'!E26")</f>
        <v>1.5674590794373069</v>
      </c>
      <c r="R22" s="53">
        <f ca="1">INDIRECT("'" &amp; $A$101 &amp; "'!O28")</f>
        <v>18</v>
      </c>
      <c r="S22" s="619">
        <f t="shared" ca="1" si="1"/>
        <v>114</v>
      </c>
      <c r="T22" s="580">
        <f ca="1">INDIRECT("'" &amp; $A$101 &amp; "'!O26")</f>
        <v>1.5674590794373069</v>
      </c>
    </row>
    <row r="23" spans="1:20" ht="17.45" customHeight="1" x14ac:dyDescent="0.25">
      <c r="A23" s="5" t="s">
        <v>467</v>
      </c>
      <c r="B23" s="228">
        <f>VLOOKUP(model,LookupSigma5Feed,4)</f>
        <v>0.26963535999999999</v>
      </c>
      <c r="C23" s="222" t="s">
        <v>461</v>
      </c>
      <c r="D23" s="5" t="s">
        <v>468</v>
      </c>
      <c r="E23" s="224">
        <f>VLOOKUP(model,LookupSigma5Feed,6)</f>
        <v>797</v>
      </c>
      <c r="F23" s="212" t="s">
        <v>465</v>
      </c>
      <c r="G23" s="5" t="s">
        <v>469</v>
      </c>
      <c r="H23" s="221">
        <f ca="1">ACCTQ+FRICTQ+LOOPTQ</f>
        <v>667.13821919299414</v>
      </c>
      <c r="I23" s="227" t="str">
        <f ca="1">IF(MPEAK&gt;PEAKTQ,"OK","EXCESS")</f>
        <v>OK</v>
      </c>
      <c r="L23" s="208">
        <f ca="1">INDIRECT("'" &amp; $A$101 &amp; "'!F21")</f>
        <v>80</v>
      </c>
      <c r="M23" s="53">
        <f ca="1">INDIRECT("'" &amp; $A$101 &amp; "'!F22")</f>
        <v>227.23909089799099</v>
      </c>
      <c r="N23" s="53">
        <f ca="1">INDIRECT("'" &amp; $A$101 &amp; "'!P22")</f>
        <v>257.70489777088846</v>
      </c>
      <c r="O23" s="53">
        <f ca="1">INDIRECT("'" &amp; $A$101 &amp; "'!F28")</f>
        <v>18</v>
      </c>
      <c r="P23" s="53">
        <f t="shared" ca="1" si="0"/>
        <v>120</v>
      </c>
      <c r="Q23" s="55">
        <f ca="1">INDIRECT("'" &amp; $A$101 &amp; "'!F26")</f>
        <v>1.6381939023450689</v>
      </c>
      <c r="R23" s="53">
        <f ca="1">INDIRECT("'" &amp; $A$101 &amp; "'!P28")</f>
        <v>18</v>
      </c>
      <c r="S23" s="619">
        <f t="shared" ca="1" si="1"/>
        <v>120</v>
      </c>
      <c r="T23" s="580">
        <f ca="1">INDIRECT("'" &amp; $A$101 &amp; "'!P26")</f>
        <v>1.6381939023450689</v>
      </c>
    </row>
    <row r="24" spans="1:20" ht="17.45" customHeight="1" x14ac:dyDescent="0.25">
      <c r="A24" s="229" t="s">
        <v>1129</v>
      </c>
      <c r="B24" s="221">
        <f>MRPM/RATIO*(VLOOKUP(model,LookupSigma5Feed,13)*PI()/720)*60</f>
        <v>282.74616628474422</v>
      </c>
      <c r="C24" s="225" t="s">
        <v>452</v>
      </c>
      <c r="D24" s="229" t="s">
        <v>470</v>
      </c>
      <c r="E24" s="221">
        <f>((VLOOKUP(model,LookupSigma5Feed,12))*0.5*B18)/RATIO+VLOOKUP(model,LookupSigma5Feed,19)</f>
        <v>22.200108001080011</v>
      </c>
      <c r="F24" s="212" t="s">
        <v>465</v>
      </c>
      <c r="G24" s="5" t="s">
        <v>471</v>
      </c>
      <c r="H24" s="221">
        <f ca="1">SQRT(((PEAKTQ^2*ACCTM)+(ACCTQ^2*ACCTM)+(SETTQ^2*SETTM)+(LOOPTQ^2*DWLTM))/CYCTM)</f>
        <v>420.91360686178393</v>
      </c>
      <c r="I24" s="227" t="str">
        <f ca="1">IF(MRMS&gt;RMSTQ,"OK","EXCESS")</f>
        <v>OK</v>
      </c>
      <c r="L24" s="208">
        <f ca="1">INDIRECT("'" &amp; $A$101 &amp; "'!G21")</f>
        <v>84</v>
      </c>
      <c r="M24" s="53">
        <f ca="1">INDIRECT("'" &amp; $A$101 &amp; "'!G22")</f>
        <v>223.36477449496914</v>
      </c>
      <c r="N24" s="53">
        <f ca="1">INDIRECT("'" &amp; $A$101 &amp; "'!Q22")</f>
        <v>253.14838548269421</v>
      </c>
      <c r="O24" s="53">
        <f ca="1">INDIRECT("'" &amp; $A$101 &amp; "'!G28")</f>
        <v>17</v>
      </c>
      <c r="P24" s="53">
        <f t="shared" ca="1" si="0"/>
        <v>119</v>
      </c>
      <c r="Q24" s="55">
        <f ca="1">INDIRECT("'" &amp; $A$101 &amp; "'!G26")</f>
        <v>1.7089287252528307</v>
      </c>
      <c r="R24" s="53">
        <f ca="1">INDIRECT("'" &amp; $A$101 &amp; "'!Q28")</f>
        <v>17</v>
      </c>
      <c r="S24" s="619">
        <f t="shared" ca="1" si="1"/>
        <v>119</v>
      </c>
      <c r="T24" s="580">
        <f ca="1">INDIRECT("'" &amp; $A$101 &amp; "'!Q26")</f>
        <v>1.7089287252528307</v>
      </c>
    </row>
    <row r="25" spans="1:20" ht="17.45" customHeight="1" x14ac:dyDescent="0.25">
      <c r="A25" s="229" t="s">
        <v>472</v>
      </c>
      <c r="B25" s="229">
        <f ca="1">IF(MATCH&lt;10, 0.035, 0.06)</f>
        <v>3.5000000000000003E-2</v>
      </c>
      <c r="C25" s="225" t="s">
        <v>473</v>
      </c>
      <c r="D25" s="229" t="s">
        <v>474</v>
      </c>
      <c r="E25" s="230">
        <f>((B15*C15*E15*F15*0.5)*(VLOOKUP(model,LookupSigma5Feed,12))*0.5)/RATIO/VLOOKUP(model,LookupSigma5Feed,9)</f>
        <v>85.527625497668495</v>
      </c>
      <c r="F25" s="212" t="s">
        <v>465</v>
      </c>
      <c r="G25" s="5" t="s">
        <v>475</v>
      </c>
      <c r="H25" s="221">
        <f ca="1">SQRT(((PEAKTQ^2*ACCTM_2)+(ACCTQ^2*ACCTM_2)+(SETTQ^2*SETTM)+(LOOPTQ^2*DWLTM_2))/CYCTM_2)</f>
        <v>483.51424765023427</v>
      </c>
      <c r="I25" s="227" t="str">
        <f ca="1">IF(MRMS&gt;RMSTQ_2,"OK","EXCESS")</f>
        <v>OK</v>
      </c>
      <c r="L25" s="208">
        <f ca="1">INDIRECT("'" &amp; $A$101 &amp; "'!H21")</f>
        <v>88</v>
      </c>
      <c r="M25" s="53">
        <f ca="1">INDIRECT("'" &amp; $A$101 &amp; "'!H22")</f>
        <v>219.73806419414475</v>
      </c>
      <c r="N25" s="53">
        <f ca="1">INDIRECT("'" &amp; $A$101 &amp; "'!R22")</f>
        <v>248.88035458823106</v>
      </c>
      <c r="O25" s="53">
        <f ca="1">INDIRECT("'" &amp; $A$101 &amp; "'!H28")</f>
        <v>16</v>
      </c>
      <c r="P25" s="53">
        <f t="shared" ca="1" si="0"/>
        <v>117.33333333333333</v>
      </c>
      <c r="Q25" s="55">
        <f ca="1">INDIRECT("'" &amp; $A$101 &amp; "'!H26")</f>
        <v>1.7796635481605929</v>
      </c>
      <c r="R25" s="53">
        <f ca="1">INDIRECT("'" &amp; $A$101 &amp; "'!R28")</f>
        <v>16</v>
      </c>
      <c r="S25" s="619">
        <f t="shared" ca="1" si="1"/>
        <v>117.33333333333333</v>
      </c>
      <c r="T25" s="580">
        <f ca="1">INDIRECT("'" &amp; $A$101 &amp; "'!R26")</f>
        <v>1.7796635481605929</v>
      </c>
    </row>
    <row r="26" spans="1:20" ht="17.45" customHeight="1" thickBot="1" x14ac:dyDescent="0.3">
      <c r="A26" s="5" t="s">
        <v>224</v>
      </c>
      <c r="B26" s="231">
        <f>VLOOKUP(model, LookupSigma5Feed,2)</f>
        <v>11.111000000000001</v>
      </c>
      <c r="C26" s="225" t="s">
        <v>476</v>
      </c>
      <c r="D26" s="229" t="s">
        <v>477</v>
      </c>
      <c r="E26" s="229">
        <f>VLOOKUP(model,LookupSigma5Feed,7)</f>
        <v>50</v>
      </c>
      <c r="F26" s="212" t="s">
        <v>465</v>
      </c>
      <c r="G26" s="5" t="s">
        <v>478</v>
      </c>
      <c r="H26" s="221">
        <f ca="1">(((reflin*RPM)/(9.55*ACCTM))/(VLOOKUP(model,LookupSigma5Feed,9)))+((MINT*RPM)/(9.55*ACCTM))</f>
        <v>559.41048569424561</v>
      </c>
      <c r="I26" s="227" t="str">
        <f ca="1">IF(ACCTQ&lt;MPEAK,"OK","EXCESS")</f>
        <v>OK</v>
      </c>
      <c r="L26" s="232">
        <f ca="1">INDIRECT("'" &amp; $A$101 &amp; "'!I21")</f>
        <v>92</v>
      </c>
      <c r="M26" s="233">
        <f ca="1">INDIRECT("'" &amp; $A$101 &amp; "'!I22")</f>
        <v>216.33463110905205</v>
      </c>
      <c r="N26" s="233">
        <f ca="1">INDIRECT("'" &amp; $A$101 &amp; "'!S22")</f>
        <v>244.87256260150852</v>
      </c>
      <c r="O26" s="233">
        <f ca="1">INDIRECT("'" &amp; $A$101 &amp; "'!I28")</f>
        <v>15</v>
      </c>
      <c r="P26" s="233">
        <f t="shared" ca="1" si="0"/>
        <v>115</v>
      </c>
      <c r="Q26" s="234">
        <f ca="1">INDIRECT("'" &amp; $A$101 &amp; "'!I26")</f>
        <v>1.8503983710683547</v>
      </c>
      <c r="R26" s="233">
        <f ca="1">INDIRECT("'" &amp; $A$101 &amp; "'!S28")</f>
        <v>15</v>
      </c>
      <c r="S26" s="389">
        <f t="shared" ca="1" si="1"/>
        <v>115</v>
      </c>
      <c r="T26" s="618">
        <f ca="1">INDIRECT("'" &amp; $A$101 &amp; "'!S26")</f>
        <v>1.8503983710683547</v>
      </c>
    </row>
    <row r="53" spans="1:24" x14ac:dyDescent="0.25">
      <c r="B53" s="2"/>
      <c r="C53" s="2"/>
      <c r="D53" s="2"/>
      <c r="E53" s="2"/>
      <c r="F53" s="2"/>
      <c r="G53" s="2"/>
      <c r="H53" s="2"/>
      <c r="I53" s="2"/>
    </row>
    <row r="54" spans="1:24" x14ac:dyDescent="0.25">
      <c r="B54" s="2"/>
      <c r="C54" s="2"/>
      <c r="D54" s="2"/>
      <c r="E54" s="2"/>
      <c r="F54" s="2"/>
      <c r="G54" s="2"/>
      <c r="H54" s="2"/>
      <c r="I54" s="2"/>
    </row>
    <row r="55" spans="1:24" x14ac:dyDescent="0.25">
      <c r="B55" s="2"/>
      <c r="C55" s="2"/>
      <c r="D55" s="2"/>
      <c r="E55" s="2"/>
      <c r="F55" s="2"/>
      <c r="G55" s="2"/>
      <c r="H55" s="2"/>
      <c r="I55" s="2"/>
    </row>
    <row r="56" spans="1:24" x14ac:dyDescent="0.25">
      <c r="B56" s="2"/>
      <c r="C56" s="2"/>
      <c r="D56" s="2"/>
      <c r="E56" s="2"/>
      <c r="F56" s="2"/>
      <c r="G56" s="2"/>
      <c r="H56" s="2"/>
      <c r="I56" s="2"/>
    </row>
    <row r="57" spans="1:24" x14ac:dyDescent="0.25">
      <c r="B57" s="2"/>
      <c r="C57" s="2"/>
      <c r="D57" s="2"/>
      <c r="E57" s="2"/>
      <c r="F57" s="2"/>
      <c r="G57" s="2"/>
      <c r="H57" s="2"/>
      <c r="I57" s="2"/>
    </row>
    <row r="58" spans="1:24" x14ac:dyDescent="0.25">
      <c r="B58" s="2"/>
      <c r="C58" s="2"/>
      <c r="D58" s="2"/>
      <c r="E58" s="2"/>
      <c r="F58" s="2"/>
      <c r="G58" s="2"/>
      <c r="H58" s="2"/>
      <c r="I58" s="2"/>
    </row>
    <row r="59" spans="1:24" x14ac:dyDescent="0.25">
      <c r="B59" s="2"/>
      <c r="C59" s="2"/>
      <c r="D59" s="2"/>
      <c r="E59" s="2"/>
      <c r="F59" s="2"/>
      <c r="G59" s="2"/>
      <c r="H59" s="2"/>
      <c r="I59" s="2"/>
    </row>
    <row r="60" spans="1:24" hidden="1" x14ac:dyDescent="0.25">
      <c r="B60" s="2"/>
      <c r="C60" s="2"/>
      <c r="D60" s="2"/>
      <c r="E60" s="2"/>
      <c r="F60" s="2"/>
      <c r="G60" s="2"/>
      <c r="H60" s="2"/>
      <c r="I60" s="2"/>
    </row>
    <row r="61" spans="1:24" hidden="1" x14ac:dyDescent="0.25">
      <c r="B61" s="2"/>
      <c r="D61" s="2"/>
      <c r="F61" s="2"/>
      <c r="H61" s="2"/>
      <c r="I61"/>
      <c r="J61" s="2"/>
      <c r="L61" s="2"/>
      <c r="N61" s="2"/>
      <c r="T61" s="2"/>
      <c r="V61" s="2"/>
    </row>
    <row r="62" spans="1:24" hidden="1" x14ac:dyDescent="0.25">
      <c r="A62" s="549">
        <v>1</v>
      </c>
      <c r="B62" s="549">
        <f>A62+1</f>
        <v>2</v>
      </c>
      <c r="I62"/>
    </row>
    <row r="63" spans="1:24" hidden="1" x14ac:dyDescent="0.25">
      <c r="A63" s="547" t="s">
        <v>1001</v>
      </c>
      <c r="B63" s="548"/>
    </row>
    <row r="64" spans="1:24" ht="15.75" hidden="1" x14ac:dyDescent="0.25">
      <c r="A64" s="241" t="s">
        <v>160</v>
      </c>
      <c r="B64" s="548" t="s">
        <v>486</v>
      </c>
      <c r="D64" s="40"/>
      <c r="G64" s="201"/>
      <c r="H64" s="236"/>
      <c r="I64" s="237"/>
      <c r="J64" s="236"/>
      <c r="K64" s="201"/>
      <c r="L64" s="236"/>
      <c r="M64" s="236"/>
      <c r="N64" s="238"/>
      <c r="O64" s="238"/>
      <c r="P64" s="238"/>
      <c r="Q64" s="238"/>
      <c r="R64" s="238"/>
      <c r="S64" s="238"/>
      <c r="T64" s="239"/>
      <c r="U64" s="239"/>
      <c r="V64" s="239"/>
      <c r="W64" s="240"/>
      <c r="X64" s="236"/>
    </row>
    <row r="65" spans="1:23" ht="15.75" hidden="1" x14ac:dyDescent="0.25">
      <c r="A65" s="241" t="s">
        <v>492</v>
      </c>
      <c r="B65" s="548">
        <f ca="1">Inertia2!$M$41</f>
        <v>4.7161341585565449E-3</v>
      </c>
      <c r="D65" s="40"/>
      <c r="G65" s="201"/>
      <c r="H65" s="236"/>
      <c r="I65" s="237"/>
      <c r="J65" s="236"/>
      <c r="K65" s="201"/>
      <c r="L65" s="236"/>
      <c r="M65" s="236"/>
      <c r="N65" s="238"/>
      <c r="O65" s="238"/>
      <c r="P65" s="238"/>
      <c r="Q65" s="238"/>
      <c r="R65" s="238"/>
      <c r="S65" s="238"/>
      <c r="T65" s="239"/>
      <c r="U65" s="239"/>
      <c r="V65" s="239"/>
      <c r="W65" s="240"/>
    </row>
    <row r="66" spans="1:23" ht="15.75" hidden="1" x14ac:dyDescent="0.25">
      <c r="A66" s="241" t="s">
        <v>495</v>
      </c>
      <c r="B66" s="548">
        <f ca="1">Inertia2!$B$41</f>
        <v>5.6576787636186347E-3</v>
      </c>
      <c r="D66" s="40"/>
      <c r="G66" s="201"/>
      <c r="H66" s="236"/>
      <c r="I66" s="237"/>
      <c r="J66" s="236"/>
      <c r="K66" s="201"/>
      <c r="L66" s="236"/>
      <c r="M66" s="236"/>
      <c r="N66" s="238"/>
      <c r="O66" s="238"/>
      <c r="P66" s="238"/>
      <c r="Q66" s="238"/>
      <c r="R66" s="238"/>
      <c r="S66" s="238"/>
      <c r="T66" s="239"/>
      <c r="U66" s="239"/>
      <c r="V66" s="239"/>
      <c r="W66" s="240"/>
    </row>
    <row r="67" spans="1:23" ht="15.75" hidden="1" x14ac:dyDescent="0.25">
      <c r="A67" s="241" t="s">
        <v>496</v>
      </c>
      <c r="B67" s="548">
        <f ca="1">Inertia2!$X$41</f>
        <v>8.02360239181878E-3</v>
      </c>
      <c r="D67" s="40"/>
      <c r="G67" s="201"/>
      <c r="H67" s="236"/>
      <c r="I67" s="237"/>
      <c r="J67" s="236"/>
      <c r="K67" s="201"/>
      <c r="L67" s="236"/>
      <c r="M67" s="236"/>
      <c r="N67" s="238"/>
      <c r="O67" s="238"/>
      <c r="P67" s="238"/>
      <c r="Q67" s="238"/>
      <c r="R67" s="238"/>
      <c r="S67" s="238"/>
      <c r="T67" s="239"/>
      <c r="U67" s="239"/>
      <c r="V67" s="239"/>
      <c r="W67" s="240"/>
    </row>
    <row r="68" spans="1:23" ht="15.75" hidden="1" x14ac:dyDescent="0.25">
      <c r="A68" s="241" t="s">
        <v>499</v>
      </c>
      <c r="B68" s="548">
        <f ca="1">Inertia2!$AI$41</f>
        <v>9.0439775165251021E-3</v>
      </c>
      <c r="D68" s="40"/>
      <c r="G68" s="201"/>
      <c r="H68" s="236"/>
      <c r="I68" s="237"/>
      <c r="J68" s="236"/>
      <c r="K68" s="201"/>
      <c r="L68" s="236"/>
      <c r="M68" s="236"/>
      <c r="N68" s="238"/>
      <c r="O68" s="238"/>
      <c r="P68" s="238"/>
      <c r="Q68" s="238"/>
      <c r="R68" s="238"/>
      <c r="S68" s="238"/>
      <c r="T68" s="239"/>
      <c r="U68" s="239"/>
      <c r="V68" s="239"/>
      <c r="W68" s="240"/>
    </row>
    <row r="69" spans="1:23" ht="15.75" hidden="1" x14ac:dyDescent="0.25">
      <c r="A69" s="241" t="s">
        <v>500</v>
      </c>
      <c r="B69" s="548">
        <f ca="1">Inertia2!$AT$43</f>
        <v>2.0383560810910091E-2</v>
      </c>
      <c r="D69" s="40"/>
      <c r="G69" s="201"/>
      <c r="H69" s="236"/>
      <c r="I69" s="237"/>
      <c r="J69" s="236"/>
      <c r="K69" s="201"/>
      <c r="L69" s="236"/>
      <c r="M69" s="236"/>
      <c r="N69" s="238"/>
      <c r="O69" s="238"/>
      <c r="P69" s="238"/>
      <c r="Q69" s="238"/>
      <c r="R69" s="238"/>
      <c r="S69" s="238"/>
      <c r="T69" s="239"/>
      <c r="U69" s="239"/>
      <c r="V69" s="239"/>
      <c r="W69" s="240"/>
    </row>
    <row r="70" spans="1:23" ht="15.75" hidden="1" x14ac:dyDescent="0.25">
      <c r="A70" s="241" t="s">
        <v>503</v>
      </c>
      <c r="B70" s="548">
        <f ca="1">Inertia2!$BE$43</f>
        <v>2.679604147415094E-2</v>
      </c>
      <c r="D70" s="40"/>
      <c r="G70" s="201"/>
      <c r="H70" s="236"/>
      <c r="I70" s="237"/>
      <c r="J70" s="236"/>
      <c r="K70" s="201"/>
      <c r="L70" s="236"/>
      <c r="M70" s="236"/>
      <c r="N70" s="238"/>
      <c r="O70" s="238"/>
      <c r="P70" s="238"/>
      <c r="Q70" s="238"/>
      <c r="R70" s="238"/>
      <c r="S70" s="238"/>
      <c r="T70" s="239"/>
      <c r="U70" s="239"/>
      <c r="V70" s="239"/>
      <c r="W70" s="240"/>
    </row>
    <row r="71" spans="1:23" ht="15.75" hidden="1" x14ac:dyDescent="0.25">
      <c r="A71" s="241" t="s">
        <v>504</v>
      </c>
      <c r="B71" s="548">
        <f ca="1">Inertia2!$BP$43</f>
        <v>3.3663803097304372E-2</v>
      </c>
      <c r="D71" s="40"/>
      <c r="G71" s="201"/>
      <c r="H71" s="236"/>
      <c r="I71" s="237"/>
      <c r="J71" s="236"/>
      <c r="K71" s="201"/>
      <c r="L71" s="236"/>
      <c r="M71" s="236"/>
      <c r="N71" s="238"/>
      <c r="O71" s="238"/>
      <c r="P71" s="238"/>
      <c r="Q71" s="238"/>
      <c r="R71" s="238"/>
      <c r="S71" s="238"/>
      <c r="T71" s="239"/>
      <c r="U71" s="239"/>
      <c r="V71" s="239"/>
      <c r="W71" s="240"/>
    </row>
    <row r="72" spans="1:23" ht="15.75" hidden="1" x14ac:dyDescent="0.25">
      <c r="A72" s="241" t="s">
        <v>440</v>
      </c>
      <c r="B72" s="548">
        <f ca="1">Inertia2!$CA$43</f>
        <v>4.0050662713203185E-2</v>
      </c>
      <c r="D72" s="40"/>
      <c r="G72" s="201"/>
      <c r="H72" s="236"/>
      <c r="I72" s="237"/>
      <c r="J72" s="236"/>
      <c r="K72" s="201"/>
      <c r="L72" s="236"/>
      <c r="M72" s="236"/>
      <c r="N72" s="238"/>
      <c r="O72" s="238"/>
      <c r="P72" s="238"/>
      <c r="Q72" s="238"/>
      <c r="R72" s="238"/>
      <c r="S72" s="238"/>
      <c r="T72" s="239"/>
      <c r="U72" s="239"/>
      <c r="V72" s="239"/>
      <c r="W72" s="240"/>
    </row>
    <row r="73" spans="1:23" ht="15.75" hidden="1" x14ac:dyDescent="0.25">
      <c r="A73" s="241" t="s">
        <v>507</v>
      </c>
      <c r="B73" s="548">
        <f ca="1">Inertia2!$CL$43</f>
        <v>0.11518097391929207</v>
      </c>
      <c r="D73" s="40"/>
      <c r="G73" s="201"/>
      <c r="H73" s="236"/>
      <c r="I73" s="237"/>
      <c r="J73" s="236"/>
      <c r="K73" s="201"/>
      <c r="L73" s="236"/>
      <c r="M73" s="236"/>
      <c r="N73" s="238"/>
      <c r="O73" s="238"/>
      <c r="P73" s="238"/>
      <c r="Q73" s="238"/>
      <c r="R73" s="238"/>
      <c r="S73" s="238"/>
      <c r="T73" s="239"/>
      <c r="U73" s="239"/>
      <c r="V73" s="239"/>
      <c r="W73" s="240"/>
    </row>
    <row r="74" spans="1:23" ht="15.75" hidden="1" x14ac:dyDescent="0.25">
      <c r="A74" s="241" t="s">
        <v>510</v>
      </c>
      <c r="B74" s="548">
        <f ca="1">Inertia2!$CW$46</f>
        <v>0.13433000364917957</v>
      </c>
      <c r="D74" s="40"/>
      <c r="G74" s="201"/>
      <c r="H74" s="236"/>
      <c r="I74" s="237"/>
      <c r="J74" s="236"/>
      <c r="K74" s="201"/>
      <c r="L74" s="236"/>
      <c r="M74" s="236"/>
      <c r="N74" s="238"/>
      <c r="O74" s="238"/>
      <c r="P74" s="238"/>
      <c r="Q74" s="238"/>
      <c r="R74" s="238"/>
      <c r="S74" s="238"/>
      <c r="T74" s="239"/>
      <c r="U74" s="239"/>
      <c r="V74" s="239"/>
      <c r="W74" s="240"/>
    </row>
    <row r="75" spans="1:23" ht="15.75" hidden="1" x14ac:dyDescent="0.25">
      <c r="A75" s="241" t="s">
        <v>511</v>
      </c>
      <c r="B75" s="548">
        <f ca="1">Inertia2!$DH$46</f>
        <v>0.25956197251055335</v>
      </c>
      <c r="D75" s="40"/>
      <c r="G75" s="201"/>
      <c r="H75" s="236"/>
      <c r="I75" s="237"/>
      <c r="J75" s="236"/>
      <c r="K75" s="201"/>
      <c r="L75" s="236"/>
      <c r="M75" s="236"/>
      <c r="N75" s="238"/>
      <c r="O75" s="238"/>
      <c r="P75" s="238"/>
      <c r="Q75" s="238"/>
      <c r="R75" s="238"/>
      <c r="S75" s="238"/>
      <c r="T75" s="239"/>
      <c r="U75" s="239"/>
      <c r="V75" s="239"/>
      <c r="W75" s="240"/>
    </row>
    <row r="76" spans="1:23" hidden="1" x14ac:dyDescent="0.25">
      <c r="A76" s="241" t="s">
        <v>514</v>
      </c>
      <c r="B76" s="548">
        <f ca="1">Inertia2!$DS$46</f>
        <v>0.38966198312712225</v>
      </c>
    </row>
    <row r="77" spans="1:23" hidden="1" x14ac:dyDescent="0.25"/>
    <row r="78" spans="1:23" ht="15.75" hidden="1" x14ac:dyDescent="0.25">
      <c r="A78" s="241"/>
      <c r="B78" s="242"/>
      <c r="C78" s="338"/>
      <c r="D78" s="243"/>
      <c r="E78" s="338"/>
      <c r="F78" s="338"/>
      <c r="G78" s="338"/>
      <c r="H78" s="338"/>
      <c r="I78" s="338"/>
      <c r="J78" s="242" t="s">
        <v>946</v>
      </c>
      <c r="K78" s="244">
        <f>StrMaxSp*12</f>
        <v>1440</v>
      </c>
    </row>
    <row r="79" spans="1:23" hidden="1" x14ac:dyDescent="0.25">
      <c r="A79" s="241"/>
      <c r="B79" s="242"/>
      <c r="C79" s="245"/>
      <c r="D79" s="246"/>
      <c r="E79" s="245"/>
      <c r="F79" s="5" t="s">
        <v>517</v>
      </c>
      <c r="G79" s="5">
        <f>((vel*720)/(VLOOKUP(model, LookupSigma5Feed,12)*PI()))*RATIO</f>
        <v>1499.9999999999998</v>
      </c>
      <c r="H79" s="2" t="str">
        <f>IF(RPM&gt;MRPM,"EXCESS","OK")</f>
        <v>OK</v>
      </c>
      <c r="I79" s="245"/>
      <c r="J79" s="242" t="s">
        <v>949</v>
      </c>
      <c r="K79" s="247">
        <f>MRPM/RATIO*(VLOOKUP(model,LookupSigma5Feed,13)*PI()/720)</f>
        <v>4.7124361047457368</v>
      </c>
    </row>
    <row r="80" spans="1:23" ht="15.75" hidden="1" x14ac:dyDescent="0.25">
      <c r="A80" s="248"/>
      <c r="B80" s="245"/>
      <c r="C80" s="245"/>
      <c r="D80" s="246"/>
      <c r="E80" s="245"/>
      <c r="F80" s="5" t="s">
        <v>518</v>
      </c>
      <c r="G80" s="249">
        <f ca="1">(((reflin*RPM)/(9.55*ACCTM_2))/(VLOOKUP(model,LookupSigma5Feed,9)))+((MINT*RPM)/(9.55*ACCTM_2))</f>
        <v>559.41048569424561</v>
      </c>
      <c r="H80" s="245"/>
      <c r="I80" s="245"/>
      <c r="J80" s="245"/>
    </row>
    <row r="81" spans="1:29" hidden="1" x14ac:dyDescent="0.25">
      <c r="A81" s="241"/>
      <c r="B81" s="548"/>
      <c r="C81" s="548"/>
      <c r="D81" s="548"/>
      <c r="E81" s="548"/>
      <c r="F81" s="549"/>
      <c r="G81" s="550"/>
      <c r="H81" s="551"/>
      <c r="I81" s="552"/>
      <c r="J81" s="553"/>
      <c r="K81" s="546"/>
      <c r="L81" s="546"/>
      <c r="M81" s="546"/>
      <c r="N81" s="546"/>
      <c r="O81" s="546"/>
      <c r="P81" s="546"/>
      <c r="Q81" s="546"/>
      <c r="R81" s="546"/>
      <c r="S81" s="546"/>
      <c r="T81" s="546"/>
      <c r="U81" s="546"/>
      <c r="V81" s="546"/>
      <c r="W81" s="546"/>
      <c r="X81" s="546"/>
      <c r="Y81" s="546"/>
      <c r="Z81" s="546"/>
      <c r="AA81" s="546"/>
      <c r="AB81" s="546"/>
      <c r="AC81" s="546"/>
    </row>
    <row r="82" spans="1:29" hidden="1" x14ac:dyDescent="0.25">
      <c r="A82" s="241"/>
      <c r="B82" s="548"/>
      <c r="C82" s="548"/>
      <c r="D82" s="548"/>
      <c r="E82" s="548"/>
      <c r="F82" s="554"/>
      <c r="G82" s="550"/>
      <c r="H82" s="551"/>
      <c r="I82" s="552"/>
      <c r="J82" s="553"/>
      <c r="K82" s="546"/>
      <c r="L82" s="546"/>
      <c r="M82" s="546"/>
      <c r="N82" s="546"/>
      <c r="O82" s="546"/>
      <c r="P82" s="546"/>
      <c r="Q82" s="546"/>
      <c r="R82" s="546"/>
      <c r="S82" s="546"/>
      <c r="T82" s="546"/>
      <c r="U82" s="546"/>
      <c r="V82" s="546"/>
      <c r="W82" s="546"/>
      <c r="X82" s="546"/>
      <c r="Y82" s="546"/>
      <c r="Z82" s="546"/>
      <c r="AA82" s="546"/>
      <c r="AB82" s="546"/>
      <c r="AC82" s="546"/>
    </row>
    <row r="83" spans="1:29" hidden="1" x14ac:dyDescent="0.25">
      <c r="A83" s="241"/>
      <c r="B83" s="548"/>
      <c r="C83" s="548"/>
      <c r="D83" s="548"/>
      <c r="E83" s="548"/>
      <c r="F83" s="555"/>
      <c r="G83" s="550"/>
      <c r="H83" s="551"/>
      <c r="I83" s="555"/>
      <c r="J83" s="555"/>
      <c r="K83" s="546"/>
      <c r="L83" s="546"/>
      <c r="M83" s="546"/>
      <c r="N83" s="546"/>
      <c r="O83" s="546"/>
      <c r="P83" s="546"/>
      <c r="Q83" s="546"/>
      <c r="R83" s="546"/>
      <c r="S83" s="546"/>
      <c r="T83" s="546"/>
      <c r="U83" s="546"/>
      <c r="V83" s="546"/>
      <c r="W83" s="546"/>
      <c r="X83" s="546"/>
      <c r="Y83" s="546"/>
      <c r="Z83" s="546"/>
      <c r="AA83" s="546"/>
      <c r="AB83" s="546"/>
      <c r="AC83" s="546"/>
    </row>
    <row r="84" spans="1:29" hidden="1" x14ac:dyDescent="0.25">
      <c r="C84" s="548"/>
      <c r="D84" s="548"/>
      <c r="E84" s="548"/>
      <c r="F84" s="554"/>
      <c r="G84" s="550"/>
      <c r="H84" s="551"/>
      <c r="I84" s="552"/>
      <c r="J84" s="553"/>
      <c r="K84" s="546"/>
      <c r="L84" s="546"/>
      <c r="M84" s="546"/>
      <c r="N84" s="546"/>
      <c r="O84" s="546"/>
      <c r="P84" s="546"/>
      <c r="Q84" s="546"/>
      <c r="R84" s="546"/>
      <c r="S84" s="546"/>
      <c r="T84" s="546"/>
      <c r="U84" s="546"/>
      <c r="V84" s="546"/>
      <c r="W84" s="546"/>
      <c r="X84" s="546"/>
      <c r="Y84" s="546"/>
      <c r="Z84" s="546"/>
      <c r="AA84" s="546"/>
      <c r="AB84" s="546"/>
      <c r="AC84" s="546"/>
    </row>
    <row r="85" spans="1:29" hidden="1" x14ac:dyDescent="0.25">
      <c r="C85" s="548"/>
      <c r="D85" s="548"/>
      <c r="E85" s="548"/>
      <c r="F85" s="554"/>
      <c r="G85" s="550"/>
      <c r="H85" s="551"/>
      <c r="I85" s="552"/>
      <c r="J85" s="553"/>
      <c r="K85" s="546"/>
      <c r="L85" s="546"/>
      <c r="M85" s="546"/>
      <c r="N85" s="546"/>
      <c r="O85" s="546"/>
      <c r="P85" s="546"/>
      <c r="Q85" s="546"/>
      <c r="R85" s="546"/>
      <c r="S85" s="546"/>
      <c r="T85" s="546"/>
      <c r="U85" s="546"/>
      <c r="V85" s="546"/>
      <c r="W85" s="546"/>
      <c r="X85" s="546"/>
      <c r="Y85" s="546"/>
      <c r="Z85" s="546"/>
      <c r="AA85" s="546"/>
      <c r="AB85" s="546"/>
      <c r="AC85" s="546"/>
    </row>
    <row r="86" spans="1:29" hidden="1" x14ac:dyDescent="0.25">
      <c r="C86" s="548"/>
      <c r="D86" s="548"/>
      <c r="E86" s="548"/>
      <c r="F86" s="555"/>
      <c r="G86" s="550"/>
      <c r="H86" s="551"/>
      <c r="I86" s="555"/>
      <c r="J86" s="555"/>
      <c r="K86" s="546"/>
      <c r="L86" s="546"/>
      <c r="M86" s="546"/>
      <c r="N86" s="546"/>
      <c r="O86" s="546"/>
      <c r="P86" s="546"/>
      <c r="Q86" s="546"/>
      <c r="R86" s="546"/>
      <c r="S86" s="546"/>
      <c r="T86" s="546"/>
      <c r="U86" s="546"/>
      <c r="V86" s="546"/>
      <c r="W86" s="546"/>
      <c r="X86" s="546"/>
      <c r="Y86" s="546"/>
      <c r="Z86" s="546"/>
      <c r="AA86" s="546"/>
      <c r="AB86" s="546"/>
      <c r="AC86" s="546"/>
    </row>
    <row r="87" spans="1:29" hidden="1" x14ac:dyDescent="0.25">
      <c r="C87" s="548"/>
      <c r="D87" s="548"/>
      <c r="E87" s="548"/>
      <c r="F87" s="554"/>
      <c r="G87" s="550"/>
      <c r="H87" s="551"/>
      <c r="I87" s="552"/>
      <c r="J87" s="553"/>
      <c r="K87" s="546"/>
      <c r="L87" s="546"/>
      <c r="M87" s="546"/>
      <c r="N87" s="546"/>
      <c r="O87" s="546"/>
      <c r="P87" s="546"/>
      <c r="Q87" s="546"/>
      <c r="R87" s="546"/>
      <c r="S87" s="546"/>
      <c r="T87" s="546"/>
      <c r="U87" s="546"/>
      <c r="V87" s="546"/>
      <c r="W87" s="546"/>
      <c r="X87" s="546"/>
      <c r="Y87" s="546"/>
      <c r="Z87" s="546"/>
      <c r="AA87" s="546"/>
      <c r="AB87" s="546"/>
      <c r="AC87" s="546"/>
    </row>
    <row r="88" spans="1:29" hidden="1" x14ac:dyDescent="0.25">
      <c r="C88" s="548"/>
      <c r="D88" s="548"/>
      <c r="E88" s="548"/>
      <c r="F88" s="554"/>
      <c r="G88" s="550"/>
      <c r="H88" s="551"/>
      <c r="I88" s="552"/>
      <c r="J88" s="553"/>
      <c r="K88" s="546"/>
      <c r="L88" s="546"/>
      <c r="M88" s="546"/>
      <c r="N88" s="546"/>
      <c r="O88" s="546"/>
      <c r="P88" s="546"/>
      <c r="Q88" s="546"/>
      <c r="R88" s="546"/>
      <c r="S88" s="546"/>
      <c r="T88" s="546"/>
      <c r="U88" s="546"/>
      <c r="V88" s="546"/>
      <c r="W88" s="546"/>
      <c r="X88" s="546"/>
      <c r="Y88" s="546"/>
      <c r="Z88" s="546"/>
      <c r="AA88" s="546"/>
      <c r="AB88" s="546"/>
      <c r="AC88" s="546"/>
    </row>
    <row r="89" spans="1:29" hidden="1" x14ac:dyDescent="0.25">
      <c r="C89" s="548"/>
      <c r="D89" s="548"/>
      <c r="E89" s="548"/>
      <c r="F89" s="555"/>
      <c r="G89" s="550"/>
      <c r="H89" s="551"/>
      <c r="I89" s="555"/>
      <c r="J89" s="555"/>
      <c r="K89" s="546"/>
      <c r="L89" s="546"/>
      <c r="M89" s="546"/>
      <c r="N89" s="546"/>
      <c r="O89" s="546"/>
      <c r="P89" s="546"/>
      <c r="Q89" s="546"/>
      <c r="R89" s="546"/>
      <c r="S89" s="546"/>
      <c r="T89" s="546"/>
      <c r="U89" s="546"/>
      <c r="V89" s="546"/>
      <c r="W89" s="546"/>
      <c r="X89" s="546"/>
      <c r="Y89" s="546"/>
      <c r="Z89" s="546"/>
      <c r="AA89" s="546"/>
      <c r="AB89" s="546"/>
      <c r="AC89" s="546"/>
    </row>
    <row r="90" spans="1:29" hidden="1" x14ac:dyDescent="0.25">
      <c r="C90" s="548"/>
      <c r="D90" s="548"/>
      <c r="E90" s="548"/>
      <c r="F90" s="554"/>
      <c r="G90" s="550"/>
      <c r="H90" s="551"/>
      <c r="I90" s="552"/>
      <c r="J90" s="553"/>
      <c r="K90" s="546"/>
      <c r="L90" s="546"/>
      <c r="M90" s="546"/>
      <c r="N90" s="546"/>
      <c r="O90" s="546"/>
      <c r="P90" s="546"/>
      <c r="Q90" s="546"/>
      <c r="R90" s="546"/>
      <c r="S90" s="546"/>
      <c r="T90" s="546"/>
      <c r="U90" s="546"/>
      <c r="V90" s="546"/>
      <c r="W90" s="546"/>
      <c r="X90" s="546"/>
      <c r="Y90" s="546"/>
      <c r="Z90" s="546"/>
      <c r="AA90" s="546"/>
      <c r="AB90" s="546"/>
      <c r="AC90" s="546"/>
    </row>
    <row r="91" spans="1:29" hidden="1" x14ac:dyDescent="0.25">
      <c r="C91" s="548"/>
      <c r="D91" s="548"/>
      <c r="E91" s="548"/>
      <c r="F91" s="554"/>
      <c r="G91" s="550"/>
      <c r="H91" s="551"/>
      <c r="I91" s="552"/>
      <c r="J91" s="553"/>
      <c r="K91" s="546"/>
      <c r="L91" s="546"/>
      <c r="M91" s="546"/>
      <c r="N91" s="546"/>
      <c r="O91" s="546"/>
      <c r="P91" s="546"/>
      <c r="Q91" s="546"/>
      <c r="R91" s="546"/>
      <c r="S91" s="546"/>
      <c r="T91" s="546"/>
      <c r="U91" s="546"/>
      <c r="V91" s="546"/>
      <c r="W91" s="546"/>
      <c r="X91" s="546"/>
      <c r="Y91" s="546"/>
      <c r="Z91" s="546"/>
      <c r="AA91" s="546"/>
      <c r="AB91" s="546"/>
      <c r="AC91" s="546"/>
    </row>
    <row r="92" spans="1:29" hidden="1" x14ac:dyDescent="0.25">
      <c r="C92" s="548"/>
      <c r="D92" s="548"/>
      <c r="E92" s="548"/>
      <c r="F92" s="555"/>
      <c r="G92" s="550"/>
      <c r="H92" s="551"/>
      <c r="I92" s="555"/>
      <c r="J92" s="555"/>
      <c r="K92" s="546"/>
      <c r="L92" s="546"/>
      <c r="M92" s="546"/>
      <c r="N92" s="546"/>
      <c r="O92" s="546"/>
      <c r="P92" s="546"/>
      <c r="Q92" s="546"/>
      <c r="R92" s="546"/>
      <c r="S92" s="546"/>
      <c r="T92" s="546"/>
      <c r="U92" s="546"/>
      <c r="V92" s="546"/>
      <c r="W92" s="546"/>
      <c r="X92" s="546"/>
      <c r="Y92" s="546"/>
      <c r="Z92" s="546"/>
      <c r="AA92" s="546"/>
      <c r="AB92" s="546"/>
      <c r="AC92" s="546"/>
    </row>
    <row r="93" spans="1:29" hidden="1" x14ac:dyDescent="0.25">
      <c r="C93" s="548"/>
      <c r="D93" s="548"/>
      <c r="E93" s="548"/>
      <c r="F93" s="554"/>
      <c r="G93" s="550"/>
      <c r="H93" s="551"/>
      <c r="I93" s="552"/>
      <c r="J93" s="553"/>
      <c r="K93" s="546"/>
      <c r="L93" s="546"/>
      <c r="M93" s="546"/>
      <c r="N93" s="546"/>
      <c r="O93" s="546"/>
      <c r="P93" s="546"/>
      <c r="Q93" s="546"/>
      <c r="R93" s="546"/>
      <c r="S93" s="546"/>
      <c r="T93" s="546"/>
      <c r="U93" s="546"/>
      <c r="V93" s="546"/>
      <c r="W93" s="546"/>
      <c r="X93" s="546"/>
      <c r="Y93" s="546"/>
      <c r="Z93" s="546"/>
      <c r="AA93" s="546"/>
      <c r="AB93" s="546"/>
      <c r="AC93" s="546"/>
    </row>
    <row r="94" spans="1:29" hidden="1" x14ac:dyDescent="0.25">
      <c r="C94" s="548"/>
      <c r="D94" s="548"/>
      <c r="E94" s="548"/>
      <c r="F94" s="554"/>
      <c r="G94" s="550"/>
      <c r="H94" s="551"/>
      <c r="I94" s="552"/>
      <c r="J94" s="553"/>
      <c r="K94" s="546"/>
      <c r="L94" s="546"/>
      <c r="M94" s="546"/>
      <c r="N94" s="546"/>
      <c r="O94" s="546"/>
      <c r="P94" s="546"/>
      <c r="Q94" s="546"/>
      <c r="R94" s="546"/>
      <c r="S94" s="546"/>
      <c r="T94" s="546"/>
      <c r="U94" s="546"/>
      <c r="V94" s="546"/>
      <c r="W94" s="546"/>
      <c r="X94" s="546"/>
      <c r="Y94" s="546"/>
      <c r="Z94" s="546"/>
      <c r="AA94" s="546"/>
      <c r="AB94" s="546"/>
      <c r="AC94" s="546"/>
    </row>
    <row r="95" spans="1:29" hidden="1" x14ac:dyDescent="0.25">
      <c r="C95" s="548"/>
      <c r="D95" s="548"/>
      <c r="E95" s="548"/>
      <c r="F95" s="555"/>
      <c r="G95" s="550"/>
      <c r="H95" s="551"/>
      <c r="I95" s="555"/>
      <c r="J95" s="555"/>
      <c r="K95" s="546"/>
      <c r="L95" s="546"/>
      <c r="M95" s="546"/>
      <c r="N95" s="546"/>
      <c r="O95" s="546"/>
      <c r="P95" s="546"/>
      <c r="Q95" s="546"/>
      <c r="R95" s="546"/>
      <c r="S95" s="546"/>
      <c r="T95" s="546"/>
      <c r="U95" s="546"/>
      <c r="V95" s="546"/>
      <c r="W95" s="546"/>
      <c r="X95" s="546"/>
      <c r="Y95" s="546"/>
      <c r="Z95" s="546"/>
      <c r="AA95" s="546"/>
      <c r="AB95" s="546"/>
      <c r="AC95" s="546"/>
    </row>
    <row r="96" spans="1:29" hidden="1" x14ac:dyDescent="0.25">
      <c r="C96" s="548"/>
      <c r="D96" s="548"/>
      <c r="E96" s="548"/>
      <c r="F96" s="554"/>
      <c r="G96" s="550"/>
      <c r="H96" s="551"/>
      <c r="I96" s="552"/>
      <c r="J96" s="553"/>
      <c r="K96" s="546"/>
      <c r="L96" s="546"/>
      <c r="M96" s="546"/>
      <c r="N96" s="546"/>
      <c r="O96" s="546"/>
      <c r="P96" s="546"/>
      <c r="Q96" s="546"/>
      <c r="R96" s="546"/>
      <c r="S96" s="546"/>
      <c r="T96" s="546"/>
      <c r="U96" s="546"/>
      <c r="V96" s="546"/>
      <c r="W96" s="546"/>
      <c r="X96" s="546"/>
      <c r="Y96" s="546"/>
      <c r="Z96" s="546"/>
      <c r="AA96" s="546"/>
      <c r="AB96" s="546"/>
      <c r="AC96" s="546"/>
    </row>
    <row r="97" spans="1:29" hidden="1" x14ac:dyDescent="0.25">
      <c r="C97" s="548"/>
      <c r="D97" s="548"/>
      <c r="E97" s="548"/>
      <c r="F97" s="554"/>
      <c r="G97" s="550"/>
      <c r="H97" s="551"/>
      <c r="I97" s="552"/>
      <c r="J97" s="553"/>
      <c r="K97" s="546"/>
      <c r="L97" s="546"/>
      <c r="M97" s="546"/>
      <c r="N97" s="546"/>
      <c r="O97" s="546"/>
      <c r="P97" s="546"/>
      <c r="Q97" s="546"/>
      <c r="R97" s="546"/>
      <c r="S97" s="546"/>
      <c r="T97" s="546"/>
      <c r="U97" s="546"/>
      <c r="V97" s="546"/>
      <c r="W97" s="546"/>
      <c r="X97" s="546"/>
      <c r="Y97" s="546"/>
      <c r="Z97" s="546"/>
      <c r="AA97" s="546"/>
      <c r="AB97" s="546"/>
      <c r="AC97" s="546"/>
    </row>
    <row r="98" spans="1:29" hidden="1" x14ac:dyDescent="0.25">
      <c r="C98" s="548"/>
      <c r="D98" s="548"/>
      <c r="E98" s="548"/>
      <c r="F98" s="555"/>
      <c r="G98" s="550"/>
      <c r="H98" s="551"/>
      <c r="I98" s="555"/>
      <c r="J98" s="555"/>
      <c r="K98" s="546"/>
      <c r="L98" s="546"/>
      <c r="M98" s="546"/>
      <c r="N98" s="546"/>
      <c r="O98" s="546"/>
      <c r="P98" s="546"/>
      <c r="Q98" s="546"/>
      <c r="R98" s="546"/>
      <c r="S98" s="546"/>
      <c r="T98" s="546"/>
      <c r="U98" s="546"/>
      <c r="V98" s="546"/>
      <c r="W98" s="546"/>
      <c r="X98" s="546"/>
      <c r="Y98" s="546"/>
      <c r="Z98" s="546"/>
      <c r="AA98" s="546"/>
      <c r="AB98" s="546"/>
      <c r="AC98" s="546"/>
    </row>
    <row r="99" spans="1:29" hidden="1" x14ac:dyDescent="0.25">
      <c r="A99" s="547"/>
      <c r="B99" s="548"/>
      <c r="C99" s="548"/>
      <c r="D99" s="548"/>
      <c r="E99" s="548"/>
      <c r="F99" s="555"/>
      <c r="G99" s="550"/>
      <c r="H99" s="551"/>
      <c r="I99" s="552"/>
      <c r="J99" s="553"/>
      <c r="K99" s="546"/>
      <c r="L99" s="546"/>
      <c r="M99" s="546"/>
      <c r="N99" s="546"/>
      <c r="O99" s="546"/>
      <c r="P99" s="546"/>
      <c r="Q99" s="546"/>
      <c r="R99" s="546"/>
      <c r="S99" s="546"/>
      <c r="T99" s="546"/>
      <c r="U99" s="546"/>
      <c r="V99" s="546"/>
      <c r="W99" s="546"/>
      <c r="X99" s="546"/>
      <c r="Y99" s="546"/>
      <c r="Z99" s="546"/>
      <c r="AA99" s="546"/>
      <c r="AB99" s="546"/>
      <c r="AC99" s="546"/>
    </row>
    <row r="100" spans="1:29" hidden="1" x14ac:dyDescent="0.25">
      <c r="A100" s="241"/>
      <c r="B100" s="242"/>
      <c r="C100" s="242"/>
      <c r="D100" s="242"/>
      <c r="E100" s="242"/>
      <c r="F100" s="242"/>
      <c r="G100" s="242"/>
      <c r="H100" s="242"/>
      <c r="I100" s="242"/>
      <c r="J100" s="242"/>
      <c r="K100" s="546"/>
      <c r="L100" s="546"/>
      <c r="M100" s="546"/>
      <c r="N100" s="546"/>
      <c r="O100" s="546"/>
      <c r="P100" s="546"/>
      <c r="Q100" s="546"/>
      <c r="R100" s="546"/>
      <c r="S100" s="546"/>
      <c r="T100" s="546"/>
      <c r="U100" s="546"/>
      <c r="V100" s="546"/>
      <c r="W100" s="546"/>
      <c r="X100" s="546"/>
      <c r="Y100" s="546"/>
      <c r="Z100" s="546"/>
      <c r="AA100" s="546"/>
      <c r="AB100" s="546"/>
      <c r="AC100" s="546"/>
    </row>
    <row r="101" spans="1:29" hidden="1" x14ac:dyDescent="0.25">
      <c r="A101" s="602" t="s">
        <v>950</v>
      </c>
      <c r="B101" s="606"/>
      <c r="C101" s="242"/>
      <c r="D101" s="242"/>
      <c r="E101" s="242"/>
      <c r="F101" s="242"/>
      <c r="G101" s="242"/>
      <c r="H101" s="242"/>
      <c r="I101" s="242"/>
      <c r="J101" s="242"/>
      <c r="K101" s="546"/>
      <c r="L101" s="546"/>
      <c r="M101" s="546"/>
      <c r="N101" s="546"/>
      <c r="O101" s="546"/>
      <c r="P101" s="546"/>
      <c r="Q101" s="546"/>
      <c r="R101" s="546"/>
      <c r="S101" s="546"/>
      <c r="T101" s="546"/>
      <c r="U101" s="546"/>
      <c r="V101" s="546"/>
      <c r="W101" s="546"/>
      <c r="X101" s="546"/>
      <c r="Y101" s="546"/>
      <c r="Z101" s="546"/>
      <c r="AA101" s="546"/>
      <c r="AB101" s="546"/>
      <c r="AC101" s="546"/>
    </row>
    <row r="102" spans="1:29" hidden="1" x14ac:dyDescent="0.25">
      <c r="A102" s="602" t="s">
        <v>908</v>
      </c>
      <c r="B102" s="604">
        <f ca="1">INDIRECT("'" &amp; A$101 &amp; "'!" &amp; A102)</f>
        <v>0.18849744418982947</v>
      </c>
      <c r="C102" s="555"/>
      <c r="D102" s="555"/>
      <c r="E102" s="555"/>
      <c r="F102" s="555"/>
      <c r="G102" s="555"/>
      <c r="H102" s="555"/>
      <c r="I102" s="555"/>
      <c r="J102" s="555"/>
      <c r="K102" s="546"/>
      <c r="L102" s="546"/>
      <c r="M102" s="546"/>
      <c r="N102" s="546"/>
      <c r="O102" s="546"/>
      <c r="P102" s="546"/>
      <c r="Q102" s="546"/>
      <c r="R102" s="546"/>
      <c r="S102" s="546"/>
      <c r="T102" s="546"/>
      <c r="U102" s="546"/>
      <c r="V102" s="546"/>
      <c r="W102" s="546"/>
      <c r="X102" s="546"/>
      <c r="Y102" s="546"/>
      <c r="Z102" s="546"/>
      <c r="AA102" s="546"/>
      <c r="AB102" s="546"/>
      <c r="AC102" s="546"/>
    </row>
    <row r="103" spans="1:29" hidden="1" x14ac:dyDescent="0.25">
      <c r="A103" s="602" t="s">
        <v>909</v>
      </c>
      <c r="B103" s="604">
        <f t="shared" ref="B103:B111" ca="1" si="2">INDIRECT("'" &amp; A$101 &amp; "'!" &amp; A103)</f>
        <v>0.18849744418982947</v>
      </c>
      <c r="C103" s="556"/>
      <c r="D103" s="556"/>
      <c r="E103" s="556"/>
      <c r="F103" s="556"/>
      <c r="G103" s="555"/>
      <c r="H103" s="556"/>
      <c r="I103" s="556"/>
      <c r="J103" s="556"/>
      <c r="K103" s="546"/>
      <c r="L103" s="546"/>
      <c r="M103" s="546"/>
      <c r="N103" s="546"/>
      <c r="O103" s="546"/>
      <c r="P103" s="546"/>
      <c r="Q103" s="546"/>
      <c r="R103" s="546"/>
      <c r="S103" s="546"/>
      <c r="T103" s="546"/>
      <c r="U103" s="546"/>
      <c r="V103" s="546"/>
      <c r="W103" s="546"/>
      <c r="X103" s="546"/>
      <c r="Y103" s="546"/>
      <c r="Z103" s="546"/>
      <c r="AA103" s="546"/>
      <c r="AB103" s="546"/>
      <c r="AC103" s="546"/>
    </row>
    <row r="104" spans="1:29" hidden="1" x14ac:dyDescent="0.25">
      <c r="A104" s="602" t="s">
        <v>912</v>
      </c>
      <c r="B104" s="604">
        <f t="shared" ca="1" si="2"/>
        <v>10.659385939829363</v>
      </c>
      <c r="C104" s="556"/>
      <c r="D104" s="556"/>
      <c r="E104" s="556"/>
      <c r="F104" s="556"/>
      <c r="G104" s="555"/>
      <c r="H104" s="556"/>
      <c r="I104" s="556"/>
      <c r="J104" s="556"/>
      <c r="K104" s="546"/>
      <c r="L104" s="546"/>
      <c r="M104" s="546"/>
      <c r="N104" s="546"/>
      <c r="O104" s="546"/>
      <c r="P104" s="546"/>
      <c r="Q104" s="546"/>
      <c r="R104" s="546"/>
      <c r="S104" s="546"/>
      <c r="T104" s="546"/>
      <c r="U104" s="546"/>
      <c r="V104" s="546"/>
      <c r="W104" s="546"/>
      <c r="X104" s="546"/>
      <c r="Y104" s="546"/>
      <c r="Z104" s="546"/>
      <c r="AA104" s="546"/>
      <c r="AB104" s="546"/>
      <c r="AC104" s="546"/>
    </row>
    <row r="105" spans="1:29" hidden="1" x14ac:dyDescent="0.25">
      <c r="A105" s="602" t="s">
        <v>913</v>
      </c>
      <c r="B105" s="604">
        <f t="shared" ca="1" si="2"/>
        <v>10.659385939829363</v>
      </c>
      <c r="C105" s="556"/>
      <c r="D105" s="556"/>
      <c r="E105" s="556"/>
      <c r="F105" s="556"/>
      <c r="G105" s="555"/>
      <c r="H105" s="556"/>
      <c r="I105" s="556"/>
      <c r="J105" s="556"/>
      <c r="K105" s="546"/>
      <c r="L105" s="546"/>
      <c r="M105" s="546"/>
      <c r="N105" s="546"/>
      <c r="O105" s="546"/>
      <c r="P105" s="546"/>
      <c r="Q105" s="546"/>
      <c r="R105" s="546"/>
      <c r="S105" s="546"/>
      <c r="T105" s="546"/>
      <c r="U105" s="546"/>
      <c r="V105" s="546"/>
      <c r="W105" s="546"/>
      <c r="X105" s="546"/>
      <c r="Y105" s="546"/>
      <c r="Z105" s="546"/>
      <c r="AA105" s="546"/>
      <c r="AB105" s="546"/>
      <c r="AC105" s="546"/>
    </row>
    <row r="106" spans="1:29" hidden="1" x14ac:dyDescent="0.25">
      <c r="A106" s="602" t="s">
        <v>915</v>
      </c>
      <c r="B106" s="604">
        <f t="shared" ca="1" si="2"/>
        <v>0.82398977675931784</v>
      </c>
      <c r="C106" s="555"/>
      <c r="D106" s="555"/>
      <c r="E106" s="554"/>
      <c r="F106" s="554"/>
      <c r="G106" s="555"/>
      <c r="H106" s="554"/>
      <c r="I106" s="554"/>
      <c r="J106" s="554"/>
      <c r="K106" s="546"/>
      <c r="L106" s="546"/>
      <c r="M106" s="546"/>
      <c r="N106" s="546"/>
      <c r="O106" s="546"/>
      <c r="P106" s="546"/>
      <c r="Q106" s="546"/>
      <c r="R106" s="546"/>
      <c r="S106" s="546"/>
      <c r="T106" s="546"/>
      <c r="U106" s="546"/>
      <c r="V106" s="546"/>
      <c r="W106" s="546"/>
      <c r="X106" s="546"/>
      <c r="Y106" s="546"/>
      <c r="Z106" s="546"/>
      <c r="AA106" s="546"/>
      <c r="AB106" s="546"/>
      <c r="AC106" s="546"/>
    </row>
    <row r="107" spans="1:29" hidden="1" x14ac:dyDescent="0.25">
      <c r="A107" s="602" t="s">
        <v>916</v>
      </c>
      <c r="B107" s="604">
        <f t="shared" ca="1" si="2"/>
        <v>0.61799233256948838</v>
      </c>
      <c r="C107" s="555"/>
      <c r="D107" s="555"/>
      <c r="E107" s="555"/>
      <c r="F107" s="555"/>
      <c r="G107" s="555"/>
      <c r="H107" s="555"/>
      <c r="I107" s="555"/>
      <c r="J107" s="555"/>
      <c r="K107" s="546"/>
      <c r="L107" s="546"/>
      <c r="M107" s="546"/>
      <c r="N107" s="546"/>
      <c r="O107" s="546"/>
      <c r="P107" s="546"/>
      <c r="Q107" s="546"/>
      <c r="R107" s="546"/>
      <c r="S107" s="546"/>
      <c r="T107" s="546"/>
      <c r="U107" s="546"/>
      <c r="V107" s="546"/>
      <c r="W107" s="546"/>
      <c r="X107" s="546"/>
      <c r="Y107" s="546"/>
      <c r="Z107" s="546"/>
      <c r="AA107" s="546"/>
      <c r="AB107" s="546"/>
      <c r="AC107" s="546"/>
    </row>
    <row r="108" spans="1:29" hidden="1" x14ac:dyDescent="0.25">
      <c r="A108" s="602" t="s">
        <v>918</v>
      </c>
      <c r="B108" s="604">
        <f t="shared" ca="1" si="2"/>
        <v>0.41199488837965892</v>
      </c>
      <c r="C108" s="555"/>
      <c r="D108" s="555"/>
      <c r="E108" s="555"/>
      <c r="F108" s="555"/>
      <c r="G108" s="555"/>
      <c r="H108" s="555"/>
      <c r="I108" s="555"/>
      <c r="J108" s="555"/>
      <c r="K108" s="546"/>
      <c r="L108" s="546"/>
      <c r="M108" s="546"/>
      <c r="N108" s="546"/>
      <c r="O108" s="546"/>
      <c r="P108" s="546"/>
      <c r="Q108" s="546"/>
      <c r="R108" s="546"/>
      <c r="S108" s="546"/>
      <c r="T108" s="546"/>
      <c r="U108" s="546"/>
      <c r="V108" s="546"/>
      <c r="W108" s="546"/>
      <c r="X108" s="546"/>
      <c r="Y108" s="546"/>
      <c r="Z108" s="546"/>
      <c r="AA108" s="546"/>
      <c r="AB108" s="546"/>
      <c r="AC108" s="546"/>
    </row>
    <row r="109" spans="1:29" hidden="1" x14ac:dyDescent="0.25">
      <c r="A109" s="602" t="s">
        <v>919</v>
      </c>
      <c r="B109" s="604">
        <f t="shared" ca="1" si="2"/>
        <v>0.20599744418982946</v>
      </c>
      <c r="C109" s="556"/>
      <c r="D109" s="556"/>
      <c r="E109" s="556"/>
      <c r="F109" s="556"/>
      <c r="G109" s="556"/>
      <c r="H109" s="556"/>
      <c r="I109" s="556"/>
      <c r="J109" s="556"/>
      <c r="K109" s="546"/>
      <c r="L109" s="546"/>
      <c r="M109" s="546"/>
      <c r="N109" s="546"/>
      <c r="O109" s="546"/>
      <c r="P109" s="546"/>
      <c r="Q109" s="546"/>
      <c r="R109" s="546"/>
      <c r="S109" s="546"/>
      <c r="T109" s="546"/>
      <c r="U109" s="546"/>
      <c r="V109" s="546"/>
      <c r="W109" s="546"/>
      <c r="X109" s="546"/>
      <c r="Y109" s="546"/>
      <c r="Z109" s="546"/>
      <c r="AA109" s="546"/>
      <c r="AB109" s="546"/>
      <c r="AC109" s="546"/>
    </row>
    <row r="110" spans="1:29" hidden="1" x14ac:dyDescent="0.25">
      <c r="A110" s="602" t="s">
        <v>932</v>
      </c>
      <c r="B110" s="604">
        <f t="shared" ca="1" si="2"/>
        <v>0.41199488837965892</v>
      </c>
      <c r="C110" s="556"/>
      <c r="D110" s="556"/>
      <c r="E110" s="556"/>
      <c r="F110" s="556"/>
      <c r="G110" s="558"/>
      <c r="H110" s="559"/>
      <c r="I110" s="554"/>
      <c r="J110" s="559"/>
      <c r="K110" s="546"/>
      <c r="L110" s="546"/>
      <c r="M110" s="546"/>
      <c r="N110" s="546"/>
      <c r="O110" s="546"/>
      <c r="P110" s="546"/>
      <c r="Q110" s="546"/>
      <c r="R110" s="546"/>
      <c r="S110" s="546"/>
      <c r="T110" s="546"/>
      <c r="U110" s="546"/>
      <c r="V110" s="546"/>
      <c r="W110" s="546"/>
      <c r="X110" s="546"/>
      <c r="Y110" s="546"/>
      <c r="Z110" s="546"/>
      <c r="AA110" s="546"/>
      <c r="AB110" s="546"/>
      <c r="AC110" s="546"/>
    </row>
    <row r="111" spans="1:29" hidden="1" x14ac:dyDescent="0.25">
      <c r="A111" s="602" t="s">
        <v>933</v>
      </c>
      <c r="B111" s="604">
        <f t="shared" ca="1" si="2"/>
        <v>0.41199488837965892</v>
      </c>
      <c r="C111" s="555"/>
      <c r="D111" s="555"/>
      <c r="E111" s="555"/>
      <c r="F111" s="555"/>
      <c r="G111" s="555"/>
      <c r="H111" s="555"/>
      <c r="I111" s="555"/>
      <c r="J111" s="555"/>
      <c r="K111" s="546"/>
      <c r="L111" s="546"/>
      <c r="M111" s="546"/>
      <c r="N111" s="546"/>
      <c r="O111" s="546"/>
      <c r="P111" s="546"/>
      <c r="Q111" s="546"/>
      <c r="R111" s="546"/>
      <c r="S111" s="546"/>
      <c r="T111" s="546"/>
      <c r="U111" s="546"/>
      <c r="V111" s="546"/>
      <c r="W111" s="546"/>
      <c r="X111" s="546"/>
      <c r="Y111" s="546"/>
      <c r="Z111" s="546"/>
      <c r="AA111" s="546"/>
      <c r="AB111" s="546"/>
      <c r="AC111" s="546"/>
    </row>
    <row r="112" spans="1:29" hidden="1" x14ac:dyDescent="0.25">
      <c r="A112" s="602"/>
      <c r="B112" s="604"/>
      <c r="C112" s="555"/>
      <c r="D112" s="555"/>
      <c r="E112" s="555"/>
      <c r="F112" s="555"/>
      <c r="G112" s="555"/>
      <c r="H112" s="555"/>
      <c r="I112" s="555"/>
      <c r="J112" s="555"/>
      <c r="K112" s="546"/>
      <c r="L112" s="546"/>
      <c r="M112" s="546"/>
      <c r="N112" s="546"/>
      <c r="O112" s="546"/>
      <c r="P112" s="546"/>
      <c r="Q112" s="546"/>
      <c r="R112" s="546"/>
      <c r="S112" s="546"/>
      <c r="T112" s="546"/>
      <c r="U112" s="546"/>
      <c r="V112" s="546"/>
      <c r="W112" s="546"/>
      <c r="X112" s="546"/>
      <c r="Y112" s="546"/>
      <c r="Z112" s="546"/>
      <c r="AA112" s="546"/>
      <c r="AB112" s="546"/>
      <c r="AC112" s="546"/>
    </row>
    <row r="113" spans="1:29" hidden="1" x14ac:dyDescent="0.25">
      <c r="A113" s="602"/>
      <c r="B113" s="603"/>
      <c r="C113" s="555"/>
      <c r="D113" s="555"/>
      <c r="E113" s="555"/>
      <c r="F113" s="555"/>
      <c r="G113" s="555"/>
      <c r="H113" s="555"/>
      <c r="I113" s="555"/>
      <c r="J113" s="555"/>
      <c r="K113" s="546"/>
      <c r="L113" s="546"/>
      <c r="M113" s="546"/>
      <c r="N113" s="546"/>
      <c r="O113" s="546"/>
      <c r="P113" s="546"/>
      <c r="Q113" s="546"/>
      <c r="R113" s="546"/>
      <c r="S113" s="546"/>
      <c r="T113" s="546"/>
      <c r="U113" s="546"/>
      <c r="V113" s="546"/>
      <c r="W113" s="546"/>
      <c r="X113" s="546"/>
      <c r="Y113" s="546"/>
      <c r="Z113" s="546"/>
      <c r="AA113" s="546"/>
      <c r="AB113" s="546"/>
      <c r="AC113" s="546"/>
    </row>
    <row r="114" spans="1:29" hidden="1" x14ac:dyDescent="0.25">
      <c r="A114" s="602" t="s">
        <v>958</v>
      </c>
      <c r="B114" s="603"/>
      <c r="C114" s="555"/>
      <c r="D114" s="555"/>
      <c r="E114" s="555"/>
      <c r="F114" s="555"/>
      <c r="G114" s="555"/>
      <c r="H114" s="555"/>
      <c r="I114" s="555"/>
      <c r="J114" s="555"/>
      <c r="K114" s="546"/>
      <c r="L114" s="546"/>
      <c r="M114" s="546"/>
      <c r="N114" s="546"/>
      <c r="O114" s="546"/>
      <c r="P114" s="546"/>
      <c r="Q114" s="546"/>
      <c r="R114" s="546"/>
      <c r="S114" s="546"/>
      <c r="T114" s="546"/>
      <c r="U114" s="546"/>
      <c r="V114" s="546"/>
      <c r="W114" s="546"/>
      <c r="X114" s="546"/>
      <c r="Y114" s="546"/>
      <c r="Z114" s="546"/>
      <c r="AA114" s="546"/>
      <c r="AB114" s="546"/>
      <c r="AC114" s="546"/>
    </row>
    <row r="115" spans="1:29" hidden="1" x14ac:dyDescent="0.25">
      <c r="A115" s="602" t="s">
        <v>917</v>
      </c>
      <c r="B115" s="605">
        <f ca="1">INDIRECT("'" &amp; A$114 &amp; "'!" &amp; A115)</f>
        <v>0.18849744418982947</v>
      </c>
      <c r="C115" s="555"/>
      <c r="D115" s="555"/>
      <c r="E115" s="555"/>
      <c r="F115" s="555"/>
      <c r="G115" s="555"/>
      <c r="H115" s="555"/>
      <c r="I115" s="555"/>
      <c r="J115" s="555"/>
      <c r="K115" s="546"/>
      <c r="L115" s="546"/>
      <c r="M115" s="546"/>
      <c r="N115" s="546"/>
      <c r="O115" s="546"/>
      <c r="P115" s="546"/>
      <c r="Q115" s="546"/>
      <c r="R115" s="546"/>
      <c r="S115" s="546"/>
      <c r="T115" s="546"/>
      <c r="U115" s="546"/>
      <c r="V115" s="546"/>
      <c r="W115" s="546"/>
      <c r="X115" s="546"/>
      <c r="Y115" s="546"/>
      <c r="Z115" s="546"/>
      <c r="AA115" s="546"/>
      <c r="AB115" s="546"/>
      <c r="AC115" s="546"/>
    </row>
    <row r="116" spans="1:29" hidden="1" x14ac:dyDescent="0.25">
      <c r="A116" s="600" t="s">
        <v>490</v>
      </c>
      <c r="B116" s="607">
        <f t="shared" ref="B116:B123" ca="1" si="3">INDIRECT("'" &amp; A$114 &amp; "'!" &amp; A116)</f>
        <v>235</v>
      </c>
      <c r="C116" s="546"/>
      <c r="D116" s="546"/>
      <c r="E116" s="546"/>
      <c r="F116" s="546"/>
      <c r="G116" s="546"/>
      <c r="H116" s="546"/>
      <c r="I116" s="557"/>
      <c r="J116" s="546"/>
      <c r="K116" s="546"/>
      <c r="L116" s="546"/>
      <c r="M116" s="546"/>
      <c r="N116" s="546"/>
      <c r="O116" s="546"/>
      <c r="P116" s="546"/>
      <c r="Q116" s="546"/>
      <c r="R116" s="546"/>
      <c r="S116" s="546"/>
      <c r="T116" s="546"/>
      <c r="U116" s="546"/>
      <c r="V116" s="546"/>
      <c r="W116" s="546"/>
      <c r="X116" s="546"/>
      <c r="Y116" s="546"/>
      <c r="Z116" s="546"/>
      <c r="AA116" s="546"/>
      <c r="AB116" s="546"/>
      <c r="AC116" s="546"/>
    </row>
    <row r="117" spans="1:29" hidden="1" x14ac:dyDescent="0.25">
      <c r="A117" s="600" t="s">
        <v>920</v>
      </c>
      <c r="B117" s="607">
        <f t="shared" ca="1" si="3"/>
        <v>636.54997553160445</v>
      </c>
      <c r="C117" s="546"/>
      <c r="D117" s="546"/>
      <c r="E117" s="546"/>
      <c r="F117" s="546"/>
      <c r="G117" s="546"/>
      <c r="H117" s="546"/>
      <c r="I117" s="557"/>
      <c r="J117" s="546"/>
      <c r="K117" s="546"/>
      <c r="L117" s="546"/>
      <c r="M117" s="546"/>
      <c r="N117" s="546"/>
      <c r="O117" s="546"/>
      <c r="P117" s="546"/>
      <c r="Q117" s="546"/>
      <c r="R117" s="546"/>
      <c r="S117" s="546"/>
      <c r="T117" s="546"/>
      <c r="U117" s="546"/>
      <c r="V117" s="546"/>
      <c r="W117" s="546"/>
      <c r="X117" s="546"/>
      <c r="Y117" s="546"/>
      <c r="Z117" s="546"/>
      <c r="AA117" s="546"/>
      <c r="AB117" s="546"/>
      <c r="AC117" s="546"/>
    </row>
    <row r="118" spans="1:29" hidden="1" x14ac:dyDescent="0.25">
      <c r="A118" s="600" t="s">
        <v>921</v>
      </c>
      <c r="B118" s="607">
        <f t="shared" ca="1" si="3"/>
        <v>49.009335489355664</v>
      </c>
      <c r="C118" s="546"/>
      <c r="D118" s="546"/>
      <c r="E118" s="546"/>
      <c r="F118" s="546"/>
      <c r="G118" s="546"/>
      <c r="H118" s="546"/>
      <c r="I118" s="557"/>
      <c r="J118" s="546"/>
      <c r="K118" s="546"/>
      <c r="L118" s="546"/>
      <c r="M118" s="546"/>
      <c r="N118" s="546"/>
      <c r="O118" s="546"/>
      <c r="P118" s="546"/>
      <c r="Q118" s="546"/>
      <c r="R118" s="546"/>
      <c r="S118" s="546"/>
      <c r="T118" s="546"/>
      <c r="U118" s="546"/>
      <c r="V118" s="546"/>
      <c r="W118" s="546"/>
      <c r="X118" s="546"/>
      <c r="Y118" s="546"/>
      <c r="Z118" s="546"/>
      <c r="AA118" s="546"/>
      <c r="AB118" s="546"/>
      <c r="AC118" s="546"/>
    </row>
    <row r="119" spans="1:29" hidden="1" x14ac:dyDescent="0.25">
      <c r="A119" s="600" t="s">
        <v>922</v>
      </c>
      <c r="B119" s="607">
        <f t="shared" ca="1" si="3"/>
        <v>920.55931102096008</v>
      </c>
      <c r="C119" s="546"/>
      <c r="D119" s="546"/>
      <c r="E119" s="546"/>
      <c r="F119" s="546"/>
      <c r="G119" s="546"/>
      <c r="H119" s="546"/>
      <c r="I119" s="557"/>
      <c r="J119" s="546"/>
      <c r="K119" s="546"/>
      <c r="L119" s="546"/>
      <c r="M119" s="546"/>
      <c r="N119" s="546"/>
      <c r="O119" s="546"/>
      <c r="P119" s="546"/>
      <c r="Q119" s="546"/>
      <c r="R119" s="546"/>
      <c r="S119" s="546"/>
      <c r="T119" s="546"/>
      <c r="U119" s="546"/>
      <c r="V119" s="546"/>
      <c r="W119" s="546"/>
      <c r="X119" s="546"/>
      <c r="Y119" s="546"/>
      <c r="Z119" s="546"/>
      <c r="AA119" s="546"/>
      <c r="AB119" s="546"/>
      <c r="AC119" s="546"/>
    </row>
    <row r="120" spans="1:29" hidden="1" x14ac:dyDescent="0.25">
      <c r="A120" s="600" t="s">
        <v>928</v>
      </c>
      <c r="B120" s="607">
        <f t="shared" ca="1" si="3"/>
        <v>260</v>
      </c>
      <c r="C120" s="546"/>
      <c r="D120" s="546"/>
      <c r="E120" s="546"/>
      <c r="F120" s="546"/>
      <c r="G120" s="546"/>
      <c r="H120" s="546"/>
      <c r="I120" s="557"/>
      <c r="J120" s="546"/>
      <c r="K120" s="546"/>
      <c r="L120" s="546"/>
      <c r="M120" s="546"/>
      <c r="N120" s="546"/>
      <c r="O120" s="546"/>
      <c r="P120" s="546"/>
      <c r="Q120" s="546"/>
      <c r="R120" s="546"/>
      <c r="S120" s="546"/>
      <c r="T120" s="546"/>
      <c r="U120" s="546"/>
      <c r="V120" s="546"/>
      <c r="W120" s="546"/>
      <c r="X120" s="546"/>
      <c r="Y120" s="546"/>
      <c r="Z120" s="546"/>
      <c r="AA120" s="546"/>
      <c r="AB120" s="546"/>
      <c r="AC120" s="546"/>
    </row>
    <row r="121" spans="1:29" hidden="1" x14ac:dyDescent="0.25">
      <c r="A121" s="600" t="s">
        <v>939</v>
      </c>
      <c r="B121" s="607">
        <f t="shared" ca="1" si="3"/>
        <v>772.52169078492909</v>
      </c>
      <c r="C121" s="546"/>
      <c r="D121" s="546"/>
      <c r="E121" s="546"/>
      <c r="F121" s="546"/>
      <c r="G121" s="546"/>
      <c r="H121" s="546"/>
      <c r="I121" s="557"/>
      <c r="J121" s="546"/>
      <c r="K121" s="546"/>
      <c r="L121" s="546"/>
      <c r="M121" s="546"/>
      <c r="N121" s="546"/>
      <c r="O121" s="546"/>
      <c r="P121" s="546"/>
      <c r="Q121" s="546"/>
      <c r="R121" s="546"/>
      <c r="S121" s="546"/>
      <c r="T121" s="546"/>
      <c r="U121" s="546"/>
      <c r="V121" s="546"/>
      <c r="W121" s="546"/>
      <c r="X121" s="546"/>
      <c r="Y121" s="546"/>
      <c r="Z121" s="546"/>
      <c r="AA121" s="546"/>
      <c r="AB121" s="546"/>
      <c r="AC121" s="546"/>
    </row>
    <row r="122" spans="1:29" hidden="1" x14ac:dyDescent="0.25">
      <c r="A122" s="600" t="s">
        <v>947</v>
      </c>
      <c r="B122" s="607">
        <f t="shared" ca="1" si="3"/>
        <v>0.82398977675931784</v>
      </c>
      <c r="C122" s="546"/>
      <c r="D122" s="546"/>
      <c r="E122" s="546"/>
      <c r="F122" s="546"/>
      <c r="G122" s="546"/>
      <c r="H122" s="546"/>
      <c r="I122" s="557"/>
      <c r="J122" s="546"/>
      <c r="K122" s="546"/>
      <c r="L122" s="546"/>
      <c r="M122" s="546"/>
      <c r="N122" s="546"/>
      <c r="O122" s="546"/>
      <c r="P122" s="546"/>
      <c r="Q122" s="546"/>
      <c r="R122" s="546"/>
      <c r="S122" s="546"/>
      <c r="T122" s="546"/>
      <c r="U122" s="546"/>
      <c r="V122" s="546"/>
      <c r="W122" s="546"/>
      <c r="X122" s="546"/>
      <c r="Y122" s="546"/>
      <c r="Z122" s="546"/>
      <c r="AA122" s="546"/>
      <c r="AB122" s="546"/>
      <c r="AC122" s="546"/>
    </row>
    <row r="123" spans="1:29" hidden="1" x14ac:dyDescent="0.25">
      <c r="A123" s="600" t="s">
        <v>948</v>
      </c>
      <c r="B123" s="607">
        <f t="shared" ca="1" si="3"/>
        <v>7.4463019824806562E-2</v>
      </c>
      <c r="C123" s="546"/>
      <c r="D123" s="546"/>
      <c r="E123" s="546"/>
      <c r="F123" s="546"/>
      <c r="G123" s="546"/>
      <c r="H123" s="546"/>
      <c r="I123" s="557"/>
      <c r="J123" s="546"/>
      <c r="K123" s="546"/>
      <c r="L123" s="546"/>
      <c r="M123" s="546"/>
      <c r="N123" s="546"/>
      <c r="O123" s="546"/>
      <c r="P123" s="546"/>
      <c r="Q123" s="546"/>
      <c r="R123" s="546"/>
      <c r="S123" s="546"/>
      <c r="T123" s="546"/>
      <c r="U123" s="546"/>
      <c r="V123" s="546"/>
      <c r="W123" s="546"/>
      <c r="X123" s="546"/>
      <c r="Y123" s="546"/>
      <c r="Z123" s="546"/>
      <c r="AA123" s="546"/>
      <c r="AB123" s="546"/>
      <c r="AC123" s="546"/>
    </row>
    <row r="124" spans="1:29" hidden="1" x14ac:dyDescent="0.25">
      <c r="A124" s="546"/>
      <c r="B124" s="546"/>
      <c r="C124" s="546"/>
      <c r="D124" s="546"/>
      <c r="E124" s="546"/>
      <c r="F124" s="546"/>
      <c r="G124" s="546"/>
      <c r="H124" s="546"/>
      <c r="I124" s="557"/>
      <c r="J124" s="546"/>
      <c r="K124" s="546"/>
      <c r="L124" s="546"/>
      <c r="M124" s="546"/>
      <c r="N124" s="546"/>
      <c r="O124" s="546"/>
      <c r="P124" s="546"/>
      <c r="Q124" s="546"/>
      <c r="R124" s="546"/>
      <c r="S124" s="546"/>
      <c r="T124" s="546"/>
      <c r="U124" s="546"/>
      <c r="V124" s="546"/>
      <c r="W124" s="546"/>
      <c r="X124" s="546"/>
      <c r="Y124" s="546"/>
      <c r="Z124" s="546"/>
      <c r="AA124" s="546"/>
      <c r="AB124" s="546"/>
      <c r="AC124" s="546"/>
    </row>
    <row r="125" spans="1:29" hidden="1" x14ac:dyDescent="0.25">
      <c r="A125" s="546"/>
      <c r="B125" s="546"/>
      <c r="C125" s="546"/>
      <c r="D125" s="546"/>
      <c r="E125" s="546"/>
      <c r="F125" s="546"/>
      <c r="G125" s="546"/>
      <c r="H125" s="546"/>
      <c r="I125" s="557"/>
      <c r="J125" s="546"/>
      <c r="K125" s="546"/>
      <c r="L125" s="546"/>
      <c r="M125" s="546"/>
      <c r="N125" s="546"/>
      <c r="O125" s="546"/>
      <c r="P125" s="546"/>
      <c r="Q125" s="546"/>
      <c r="R125" s="546"/>
      <c r="S125" s="546"/>
      <c r="T125" s="546"/>
      <c r="U125" s="546"/>
      <c r="V125" s="546"/>
      <c r="W125" s="546"/>
      <c r="X125" s="546"/>
      <c r="Y125" s="546"/>
      <c r="Z125" s="546"/>
      <c r="AA125" s="546"/>
      <c r="AB125" s="546"/>
      <c r="AC125" s="546"/>
    </row>
    <row r="126" spans="1:29" x14ac:dyDescent="0.25">
      <c r="A126" s="546"/>
      <c r="B126" s="546"/>
      <c r="C126" s="546"/>
      <c r="D126" s="546"/>
      <c r="E126" s="546"/>
      <c r="F126" s="546"/>
      <c r="G126" s="546"/>
      <c r="H126" s="546"/>
      <c r="I126" s="557"/>
      <c r="J126" s="546"/>
      <c r="K126" s="546"/>
      <c r="L126" s="546"/>
      <c r="M126" s="546"/>
      <c r="N126" s="546"/>
      <c r="O126" s="546"/>
      <c r="P126" s="546"/>
      <c r="Q126" s="546"/>
      <c r="R126" s="546"/>
      <c r="S126" s="546"/>
      <c r="T126" s="546"/>
      <c r="U126" s="546"/>
      <c r="V126" s="546"/>
      <c r="W126" s="546"/>
      <c r="X126" s="546"/>
      <c r="Y126" s="546"/>
      <c r="Z126" s="546"/>
      <c r="AA126" s="546"/>
      <c r="AB126" s="546"/>
      <c r="AC126" s="546"/>
    </row>
    <row r="127" spans="1:29" x14ac:dyDescent="0.25">
      <c r="A127" s="546"/>
      <c r="B127" s="546"/>
      <c r="C127" s="546"/>
      <c r="D127" s="546"/>
      <c r="E127" s="546"/>
      <c r="F127" s="546"/>
      <c r="G127" s="546"/>
      <c r="H127" s="546"/>
      <c r="I127" s="557"/>
      <c r="J127" s="546"/>
      <c r="K127" s="546"/>
      <c r="L127" s="546"/>
      <c r="M127" s="546"/>
      <c r="N127" s="546"/>
      <c r="O127" s="546"/>
      <c r="P127" s="546"/>
      <c r="Q127" s="546"/>
      <c r="R127" s="546"/>
      <c r="S127" s="546"/>
      <c r="T127" s="546"/>
      <c r="U127" s="546"/>
      <c r="V127" s="546"/>
      <c r="W127" s="546"/>
      <c r="X127" s="546"/>
      <c r="Y127" s="546"/>
      <c r="Z127" s="546"/>
      <c r="AA127" s="546"/>
      <c r="AB127" s="546"/>
      <c r="AC127" s="546"/>
    </row>
    <row r="128" spans="1:29" x14ac:dyDescent="0.25">
      <c r="A128" s="546"/>
      <c r="B128" s="546"/>
      <c r="C128" s="546"/>
      <c r="D128" s="546"/>
      <c r="E128" s="546"/>
      <c r="F128" s="546"/>
      <c r="G128" s="546"/>
      <c r="H128" s="546"/>
      <c r="I128" s="557"/>
      <c r="J128" s="546"/>
      <c r="K128" s="546"/>
      <c r="L128" s="546"/>
      <c r="M128" s="546"/>
      <c r="N128" s="546"/>
      <c r="O128" s="546"/>
      <c r="P128" s="546"/>
      <c r="Q128" s="546"/>
      <c r="R128" s="546"/>
      <c r="S128" s="546"/>
      <c r="T128" s="546"/>
      <c r="U128" s="546"/>
      <c r="V128" s="546"/>
      <c r="W128" s="546"/>
      <c r="X128" s="546"/>
      <c r="Y128" s="546"/>
      <c r="Z128" s="546"/>
      <c r="AA128" s="546"/>
      <c r="AB128" s="546"/>
      <c r="AC128" s="546"/>
    </row>
    <row r="129" spans="1:29" x14ac:dyDescent="0.25">
      <c r="A129" s="546"/>
      <c r="B129" s="546"/>
      <c r="C129" s="546"/>
      <c r="D129" s="546"/>
      <c r="E129" s="546"/>
      <c r="F129" s="546"/>
      <c r="G129" s="546"/>
      <c r="H129" s="546"/>
      <c r="I129" s="557"/>
      <c r="J129" s="546"/>
      <c r="K129" s="546"/>
      <c r="L129" s="546"/>
      <c r="M129" s="546"/>
      <c r="N129" s="546"/>
      <c r="O129" s="546"/>
      <c r="P129" s="546"/>
      <c r="Q129" s="546"/>
      <c r="R129" s="546"/>
      <c r="S129" s="546"/>
      <c r="T129" s="546"/>
      <c r="U129" s="546"/>
      <c r="V129" s="546"/>
      <c r="W129" s="546"/>
      <c r="X129" s="546"/>
      <c r="Y129" s="546"/>
      <c r="Z129" s="546"/>
      <c r="AA129" s="546"/>
      <c r="AB129" s="546"/>
      <c r="AC129" s="546"/>
    </row>
    <row r="130" spans="1:29" x14ac:dyDescent="0.25">
      <c r="A130" s="546"/>
      <c r="B130" s="546"/>
      <c r="C130" s="546"/>
      <c r="D130" s="546"/>
      <c r="E130" s="546"/>
      <c r="F130" s="546"/>
      <c r="G130" s="546"/>
      <c r="H130" s="546"/>
      <c r="I130" s="557"/>
      <c r="J130" s="546"/>
      <c r="K130" s="546"/>
      <c r="L130" s="546"/>
      <c r="M130" s="546"/>
      <c r="N130" s="546"/>
      <c r="O130" s="546"/>
      <c r="P130" s="546"/>
      <c r="Q130" s="546"/>
      <c r="R130" s="546"/>
      <c r="S130" s="546"/>
      <c r="T130" s="546"/>
      <c r="U130" s="546"/>
      <c r="V130" s="546"/>
      <c r="W130" s="546"/>
      <c r="X130" s="546"/>
      <c r="Y130" s="546"/>
      <c r="Z130" s="546"/>
      <c r="AA130" s="546"/>
      <c r="AB130" s="546"/>
      <c r="AC130" s="546"/>
    </row>
    <row r="131" spans="1:29" x14ac:dyDescent="0.25">
      <c r="A131" s="546"/>
      <c r="B131" s="546"/>
      <c r="C131" s="546"/>
      <c r="D131" s="546"/>
      <c r="E131" s="546"/>
      <c r="F131" s="546"/>
      <c r="G131" s="546"/>
      <c r="H131" s="546"/>
      <c r="I131" s="557"/>
      <c r="J131" s="546"/>
      <c r="K131" s="546"/>
      <c r="L131" s="546"/>
      <c r="M131" s="546"/>
      <c r="N131" s="546"/>
      <c r="O131" s="546"/>
      <c r="P131" s="546"/>
      <c r="Q131" s="546"/>
      <c r="R131" s="546"/>
      <c r="S131" s="546"/>
      <c r="T131" s="546"/>
      <c r="U131" s="546"/>
      <c r="V131" s="546"/>
      <c r="W131" s="546"/>
      <c r="X131" s="546"/>
      <c r="Y131" s="546"/>
      <c r="Z131" s="546"/>
      <c r="AA131" s="546"/>
      <c r="AB131" s="546"/>
      <c r="AC131" s="546"/>
    </row>
    <row r="132" spans="1:29" x14ac:dyDescent="0.25">
      <c r="A132" s="546"/>
      <c r="B132" s="546"/>
      <c r="C132" s="546"/>
      <c r="D132" s="546"/>
      <c r="E132" s="546"/>
      <c r="F132" s="546"/>
      <c r="G132" s="546"/>
      <c r="H132" s="546"/>
      <c r="I132" s="557"/>
      <c r="J132" s="546"/>
      <c r="K132" s="546"/>
      <c r="L132" s="546"/>
      <c r="M132" s="546"/>
      <c r="N132" s="546"/>
      <c r="O132" s="546"/>
      <c r="P132" s="546"/>
      <c r="Q132" s="546"/>
      <c r="R132" s="546"/>
      <c r="S132" s="546"/>
      <c r="T132" s="546"/>
      <c r="U132" s="546"/>
      <c r="V132" s="546"/>
      <c r="W132" s="546"/>
      <c r="X132" s="546"/>
      <c r="Y132" s="546"/>
      <c r="Z132" s="546"/>
      <c r="AA132" s="546"/>
      <c r="AB132" s="546"/>
      <c r="AC132" s="546"/>
    </row>
    <row r="133" spans="1:29" x14ac:dyDescent="0.25">
      <c r="A133" s="546"/>
      <c r="B133" s="546"/>
      <c r="C133" s="546"/>
      <c r="D133" s="546"/>
      <c r="E133" s="546"/>
      <c r="F133" s="546"/>
      <c r="G133" s="546"/>
      <c r="H133" s="546"/>
      <c r="I133" s="557"/>
      <c r="J133" s="546"/>
      <c r="K133" s="546"/>
      <c r="L133" s="546"/>
      <c r="M133" s="546"/>
      <c r="N133" s="546"/>
      <c r="O133" s="546"/>
      <c r="P133" s="546"/>
      <c r="Q133" s="546"/>
      <c r="R133" s="546"/>
      <c r="S133" s="546"/>
      <c r="T133" s="546"/>
      <c r="U133" s="546"/>
      <c r="V133" s="546"/>
      <c r="W133" s="546"/>
      <c r="X133" s="546"/>
      <c r="Y133" s="546"/>
      <c r="Z133" s="546"/>
      <c r="AA133" s="546"/>
      <c r="AB133" s="546"/>
      <c r="AC133" s="546"/>
    </row>
    <row r="134" spans="1:29" x14ac:dyDescent="0.25">
      <c r="A134" s="546"/>
      <c r="B134" s="546"/>
      <c r="C134" s="546"/>
      <c r="D134" s="546"/>
      <c r="E134" s="546"/>
      <c r="F134" s="546"/>
      <c r="G134" s="546"/>
      <c r="H134" s="546"/>
      <c r="I134" s="557"/>
      <c r="J134" s="546"/>
      <c r="K134" s="546"/>
      <c r="L134" s="546"/>
      <c r="M134" s="546"/>
      <c r="N134" s="546"/>
      <c r="O134" s="546"/>
      <c r="P134" s="546"/>
      <c r="Q134" s="546"/>
      <c r="R134" s="546"/>
      <c r="S134" s="546"/>
      <c r="T134" s="546"/>
      <c r="U134" s="546"/>
      <c r="V134" s="546"/>
      <c r="W134" s="546"/>
      <c r="X134" s="546"/>
      <c r="Y134" s="546"/>
      <c r="Z134" s="546"/>
      <c r="AA134" s="546"/>
      <c r="AB134" s="546"/>
      <c r="AC134" s="546"/>
    </row>
    <row r="135" spans="1:29" x14ac:dyDescent="0.25">
      <c r="A135" s="546"/>
      <c r="B135" s="546"/>
      <c r="C135" s="546"/>
      <c r="D135" s="546"/>
      <c r="E135" s="546"/>
      <c r="F135" s="546"/>
      <c r="G135" s="546"/>
      <c r="H135" s="546"/>
      <c r="I135" s="557"/>
      <c r="J135" s="546"/>
      <c r="K135" s="546"/>
      <c r="L135" s="546"/>
      <c r="M135" s="546"/>
      <c r="N135" s="546"/>
      <c r="O135" s="546"/>
      <c r="P135" s="546"/>
      <c r="Q135" s="546"/>
      <c r="R135" s="546"/>
      <c r="S135" s="546"/>
      <c r="T135" s="546"/>
      <c r="U135" s="546"/>
      <c r="V135" s="546"/>
      <c r="W135" s="546"/>
      <c r="X135" s="546"/>
      <c r="Y135" s="546"/>
      <c r="Z135" s="546"/>
      <c r="AA135" s="546"/>
      <c r="AB135" s="546"/>
      <c r="AC135" s="546"/>
    </row>
    <row r="136" spans="1:29" x14ac:dyDescent="0.25">
      <c r="A136" s="546"/>
      <c r="B136" s="546"/>
      <c r="C136" s="546"/>
      <c r="D136" s="546"/>
      <c r="E136" s="546"/>
      <c r="F136" s="546"/>
      <c r="G136" s="546"/>
      <c r="H136" s="546"/>
      <c r="I136" s="557"/>
      <c r="J136" s="546"/>
      <c r="K136" s="546"/>
      <c r="L136" s="546"/>
      <c r="M136" s="546"/>
      <c r="N136" s="546"/>
      <c r="O136" s="546"/>
      <c r="P136" s="546"/>
      <c r="Q136" s="546"/>
      <c r="R136" s="546"/>
      <c r="S136" s="546"/>
      <c r="T136" s="546"/>
      <c r="U136" s="546"/>
      <c r="V136" s="546"/>
      <c r="W136" s="546"/>
      <c r="X136" s="546"/>
      <c r="Y136" s="546"/>
      <c r="Z136" s="546"/>
      <c r="AA136" s="546"/>
      <c r="AB136" s="546"/>
      <c r="AC136" s="546"/>
    </row>
    <row r="137" spans="1:29" x14ac:dyDescent="0.25">
      <c r="A137" s="546"/>
      <c r="B137" s="546"/>
      <c r="C137" s="546"/>
      <c r="D137" s="546"/>
      <c r="E137" s="546"/>
      <c r="F137" s="546"/>
      <c r="G137" s="546"/>
      <c r="H137" s="546"/>
      <c r="I137" s="557"/>
      <c r="J137" s="546"/>
      <c r="K137" s="546"/>
      <c r="L137" s="546"/>
      <c r="M137" s="546"/>
      <c r="N137" s="546"/>
      <c r="O137" s="546"/>
      <c r="P137" s="546"/>
      <c r="Q137" s="546"/>
      <c r="R137" s="546"/>
      <c r="S137" s="546"/>
      <c r="T137" s="546"/>
      <c r="U137" s="546"/>
      <c r="V137" s="546"/>
      <c r="W137" s="546"/>
      <c r="X137" s="546"/>
      <c r="Y137" s="546"/>
      <c r="Z137" s="546"/>
      <c r="AA137" s="546"/>
      <c r="AB137" s="546"/>
      <c r="AC137" s="546"/>
    </row>
    <row r="138" spans="1:29" x14ac:dyDescent="0.25">
      <c r="A138" s="546"/>
      <c r="B138" s="546"/>
      <c r="C138" s="546"/>
      <c r="D138" s="546"/>
      <c r="E138" s="546"/>
      <c r="F138" s="546"/>
      <c r="G138" s="546"/>
      <c r="H138" s="546"/>
      <c r="I138" s="557"/>
      <c r="J138" s="546"/>
      <c r="K138" s="546"/>
      <c r="L138" s="546"/>
      <c r="M138" s="546"/>
      <c r="N138" s="546"/>
      <c r="O138" s="546"/>
      <c r="P138" s="546"/>
      <c r="Q138" s="546"/>
      <c r="R138" s="546"/>
      <c r="S138" s="546"/>
      <c r="T138" s="546"/>
      <c r="U138" s="546"/>
      <c r="V138" s="546"/>
      <c r="W138" s="546"/>
      <c r="X138" s="546"/>
      <c r="Y138" s="546"/>
      <c r="Z138" s="546"/>
      <c r="AA138" s="546"/>
      <c r="AB138" s="546"/>
      <c r="AC138" s="546"/>
    </row>
    <row r="139" spans="1:29" x14ac:dyDescent="0.25">
      <c r="A139" s="546"/>
      <c r="B139" s="546"/>
      <c r="C139" s="546"/>
      <c r="D139" s="546"/>
      <c r="E139" s="546"/>
      <c r="F139" s="546"/>
      <c r="G139" s="546"/>
      <c r="H139" s="546"/>
      <c r="I139" s="557"/>
      <c r="J139" s="546"/>
      <c r="K139" s="546"/>
      <c r="L139" s="546"/>
      <c r="M139" s="546"/>
      <c r="N139" s="546"/>
      <c r="O139" s="546"/>
      <c r="P139" s="546"/>
      <c r="Q139" s="546"/>
      <c r="R139" s="546"/>
      <c r="S139" s="546"/>
      <c r="T139" s="546"/>
      <c r="U139" s="546"/>
      <c r="V139" s="546"/>
      <c r="W139" s="546"/>
      <c r="X139" s="546"/>
      <c r="Y139" s="546"/>
      <c r="Z139" s="546"/>
      <c r="AA139" s="546"/>
      <c r="AB139" s="546"/>
      <c r="AC139" s="546"/>
    </row>
    <row r="140" spans="1:29" x14ac:dyDescent="0.25">
      <c r="A140" s="546"/>
      <c r="B140" s="546"/>
      <c r="C140" s="546"/>
      <c r="D140" s="546"/>
      <c r="E140" s="546"/>
      <c r="F140" s="546"/>
      <c r="G140" s="546"/>
      <c r="H140" s="546"/>
      <c r="I140" s="557"/>
      <c r="J140" s="546"/>
      <c r="K140" s="546"/>
      <c r="L140" s="546"/>
      <c r="M140" s="546"/>
      <c r="N140" s="546"/>
      <c r="O140" s="546"/>
      <c r="P140" s="546"/>
      <c r="Q140" s="546"/>
      <c r="R140" s="546"/>
      <c r="S140" s="546"/>
      <c r="T140" s="546"/>
      <c r="U140" s="546"/>
      <c r="V140" s="546"/>
      <c r="W140" s="546"/>
      <c r="X140" s="546"/>
      <c r="Y140" s="546"/>
      <c r="Z140" s="546"/>
      <c r="AA140" s="546"/>
      <c r="AB140" s="546"/>
      <c r="AC140" s="546"/>
    </row>
    <row r="141" spans="1:29" x14ac:dyDescent="0.25">
      <c r="A141" s="546"/>
      <c r="B141" s="546"/>
      <c r="C141" s="546"/>
      <c r="D141" s="546"/>
      <c r="E141" s="546"/>
      <c r="F141" s="546"/>
      <c r="G141" s="546"/>
      <c r="H141" s="546"/>
      <c r="I141" s="557"/>
      <c r="J141" s="546"/>
      <c r="K141" s="546"/>
      <c r="L141" s="546"/>
      <c r="M141" s="546"/>
      <c r="N141" s="546"/>
      <c r="O141" s="546"/>
      <c r="P141" s="546"/>
      <c r="Q141" s="546"/>
      <c r="R141" s="546"/>
      <c r="S141" s="546"/>
      <c r="T141" s="546"/>
      <c r="U141" s="546"/>
      <c r="V141" s="546"/>
      <c r="W141" s="546"/>
      <c r="X141" s="546"/>
      <c r="Y141" s="546"/>
      <c r="Z141" s="546"/>
      <c r="AA141" s="546"/>
      <c r="AB141" s="546"/>
      <c r="AC141" s="546"/>
    </row>
    <row r="142" spans="1:29" x14ac:dyDescent="0.25">
      <c r="A142" s="546"/>
      <c r="B142" s="546"/>
      <c r="C142" s="546"/>
      <c r="D142" s="546"/>
      <c r="E142" s="546"/>
      <c r="F142" s="546"/>
      <c r="G142" s="546"/>
      <c r="H142" s="546"/>
      <c r="I142" s="557"/>
      <c r="J142" s="546"/>
      <c r="K142" s="546"/>
      <c r="L142" s="546"/>
      <c r="M142" s="546"/>
      <c r="N142" s="546"/>
      <c r="O142" s="546"/>
      <c r="P142" s="546"/>
      <c r="Q142" s="546"/>
      <c r="R142" s="546"/>
      <c r="S142" s="546"/>
      <c r="T142" s="546"/>
      <c r="U142" s="546"/>
      <c r="V142" s="546"/>
      <c r="W142" s="546"/>
      <c r="X142" s="546"/>
      <c r="Y142" s="546"/>
      <c r="Z142" s="546"/>
      <c r="AA142" s="546"/>
      <c r="AB142" s="546"/>
      <c r="AC142" s="546"/>
    </row>
    <row r="143" spans="1:29" x14ac:dyDescent="0.25">
      <c r="A143" s="546"/>
      <c r="B143" s="546"/>
      <c r="C143" s="546"/>
      <c r="D143" s="546"/>
      <c r="E143" s="546"/>
      <c r="F143" s="546"/>
      <c r="G143" s="546"/>
      <c r="H143" s="546"/>
      <c r="I143" s="557"/>
      <c r="J143" s="546"/>
      <c r="K143" s="546"/>
      <c r="L143" s="546"/>
      <c r="M143" s="546"/>
      <c r="N143" s="546"/>
      <c r="O143" s="546"/>
      <c r="P143" s="546"/>
      <c r="Q143" s="546"/>
      <c r="R143" s="546"/>
      <c r="S143" s="546"/>
      <c r="T143" s="546"/>
      <c r="U143" s="546"/>
      <c r="V143" s="546"/>
      <c r="W143" s="546"/>
      <c r="X143" s="546"/>
      <c r="Y143" s="546"/>
      <c r="Z143" s="546"/>
      <c r="AA143" s="546"/>
      <c r="AB143" s="546"/>
      <c r="AC143" s="546"/>
    </row>
    <row r="144" spans="1:29" x14ac:dyDescent="0.25">
      <c r="A144" s="546"/>
      <c r="B144" s="546"/>
      <c r="C144" s="546"/>
      <c r="D144" s="546"/>
      <c r="E144" s="546"/>
      <c r="F144" s="546"/>
      <c r="G144" s="546"/>
      <c r="H144" s="546"/>
      <c r="I144" s="557"/>
      <c r="J144" s="546"/>
      <c r="K144" s="546"/>
      <c r="L144" s="546"/>
      <c r="M144" s="546"/>
      <c r="N144" s="546"/>
      <c r="O144" s="546"/>
      <c r="P144" s="546"/>
      <c r="Q144" s="546"/>
      <c r="R144" s="546"/>
      <c r="S144" s="546"/>
      <c r="T144" s="546"/>
      <c r="U144" s="546"/>
      <c r="V144" s="546"/>
      <c r="W144" s="546"/>
      <c r="X144" s="546"/>
      <c r="Y144" s="546"/>
      <c r="Z144" s="546"/>
      <c r="AA144" s="546"/>
      <c r="AB144" s="546"/>
      <c r="AC144" s="546"/>
    </row>
    <row r="145" spans="1:29" x14ac:dyDescent="0.25">
      <c r="A145" s="546"/>
      <c r="B145" s="546"/>
      <c r="C145" s="546"/>
      <c r="D145" s="546"/>
      <c r="E145" s="546"/>
      <c r="F145" s="546"/>
      <c r="G145" s="546"/>
      <c r="H145" s="546"/>
      <c r="I145" s="557"/>
      <c r="J145" s="546"/>
      <c r="K145" s="546"/>
      <c r="L145" s="546"/>
      <c r="M145" s="546"/>
      <c r="N145" s="546"/>
      <c r="O145" s="546"/>
      <c r="P145" s="546"/>
      <c r="Q145" s="546"/>
      <c r="R145" s="546"/>
      <c r="S145" s="546"/>
      <c r="T145" s="546"/>
      <c r="U145" s="546"/>
      <c r="V145" s="546"/>
      <c r="W145" s="546"/>
      <c r="X145" s="546"/>
      <c r="Y145" s="546"/>
      <c r="Z145" s="546"/>
      <c r="AA145" s="546"/>
      <c r="AB145" s="546"/>
      <c r="AC145" s="546"/>
    </row>
    <row r="146" spans="1:29" x14ac:dyDescent="0.25">
      <c r="A146" s="546"/>
      <c r="B146" s="546"/>
      <c r="C146" s="546"/>
      <c r="D146" s="546"/>
      <c r="E146" s="546"/>
      <c r="F146" s="546"/>
      <c r="G146" s="546"/>
      <c r="H146" s="546"/>
      <c r="I146" s="557"/>
      <c r="J146" s="546"/>
      <c r="K146" s="546"/>
      <c r="L146" s="546"/>
      <c r="M146" s="546"/>
      <c r="N146" s="546"/>
      <c r="O146" s="546"/>
      <c r="P146" s="546"/>
      <c r="Q146" s="546"/>
      <c r="R146" s="546"/>
      <c r="S146" s="546"/>
      <c r="T146" s="546"/>
      <c r="U146" s="546"/>
      <c r="V146" s="546"/>
      <c r="W146" s="546"/>
      <c r="X146" s="546"/>
      <c r="Y146" s="546"/>
      <c r="Z146" s="546"/>
      <c r="AA146" s="546"/>
      <c r="AB146" s="546"/>
      <c r="AC146" s="546"/>
    </row>
    <row r="147" spans="1:29" x14ac:dyDescent="0.25">
      <c r="A147" s="546"/>
      <c r="B147" s="546"/>
      <c r="C147" s="546"/>
      <c r="D147" s="546"/>
      <c r="E147" s="546"/>
      <c r="F147" s="546"/>
      <c r="G147" s="546"/>
      <c r="H147" s="546"/>
      <c r="I147" s="557"/>
      <c r="J147" s="546"/>
      <c r="K147" s="546"/>
      <c r="L147" s="546"/>
      <c r="M147" s="546"/>
      <c r="N147" s="546"/>
      <c r="O147" s="546"/>
      <c r="P147" s="546"/>
      <c r="Q147" s="546"/>
      <c r="R147" s="546"/>
      <c r="S147" s="546"/>
      <c r="T147" s="546"/>
      <c r="U147" s="546"/>
      <c r="V147" s="546"/>
      <c r="W147" s="546"/>
      <c r="X147" s="546"/>
      <c r="Y147" s="546"/>
      <c r="Z147" s="546"/>
      <c r="AA147" s="546"/>
      <c r="AB147" s="546"/>
      <c r="AC147" s="546"/>
    </row>
    <row r="148" spans="1:29" x14ac:dyDescent="0.25">
      <c r="A148" s="546"/>
      <c r="B148" s="546"/>
      <c r="C148" s="546"/>
      <c r="D148" s="546"/>
      <c r="E148" s="546"/>
      <c r="F148" s="546"/>
      <c r="G148" s="546"/>
      <c r="H148" s="546"/>
      <c r="I148" s="557"/>
      <c r="J148" s="546"/>
      <c r="K148" s="546"/>
      <c r="L148" s="546"/>
      <c r="M148" s="546"/>
      <c r="N148" s="546"/>
      <c r="O148" s="546"/>
      <c r="P148" s="546"/>
      <c r="Q148" s="546"/>
      <c r="R148" s="546"/>
      <c r="S148" s="546"/>
      <c r="T148" s="546"/>
      <c r="U148" s="546"/>
      <c r="V148" s="546"/>
      <c r="W148" s="546"/>
      <c r="X148" s="546"/>
      <c r="Y148" s="546"/>
      <c r="Z148" s="546"/>
      <c r="AA148" s="546"/>
      <c r="AB148" s="546"/>
      <c r="AC148" s="546"/>
    </row>
    <row r="149" spans="1:29" x14ac:dyDescent="0.25">
      <c r="A149" s="546"/>
      <c r="B149" s="546"/>
      <c r="C149" s="546"/>
      <c r="D149" s="546"/>
      <c r="E149" s="546"/>
      <c r="F149" s="546"/>
      <c r="G149" s="546"/>
      <c r="H149" s="546"/>
      <c r="I149" s="557"/>
      <c r="J149" s="546"/>
      <c r="K149" s="546"/>
      <c r="L149" s="546"/>
      <c r="M149" s="546"/>
      <c r="N149" s="546"/>
      <c r="O149" s="546"/>
      <c r="P149" s="546"/>
      <c r="Q149" s="546"/>
      <c r="R149" s="546"/>
      <c r="S149" s="546"/>
      <c r="T149" s="546"/>
      <c r="U149" s="546"/>
      <c r="V149" s="546"/>
      <c r="W149" s="546"/>
      <c r="X149" s="546"/>
      <c r="Y149" s="546"/>
      <c r="Z149" s="546"/>
      <c r="AA149" s="546"/>
      <c r="AB149" s="546"/>
      <c r="AC149" s="546"/>
    </row>
    <row r="150" spans="1:29" x14ac:dyDescent="0.25">
      <c r="A150" s="546"/>
      <c r="B150" s="546"/>
      <c r="C150" s="546"/>
      <c r="D150" s="546"/>
      <c r="E150" s="546"/>
      <c r="F150" s="546"/>
      <c r="G150" s="546"/>
      <c r="H150" s="546"/>
      <c r="I150" s="557"/>
      <c r="J150" s="546"/>
      <c r="K150" s="546"/>
      <c r="L150" s="546"/>
      <c r="M150" s="546"/>
      <c r="N150" s="546"/>
      <c r="O150" s="546"/>
      <c r="P150" s="546"/>
      <c r="Q150" s="546"/>
      <c r="R150" s="546"/>
      <c r="S150" s="546"/>
      <c r="T150" s="546"/>
      <c r="U150" s="546"/>
      <c r="V150" s="546"/>
      <c r="W150" s="546"/>
      <c r="X150" s="546"/>
      <c r="Y150" s="546"/>
      <c r="Z150" s="546"/>
      <c r="AA150" s="546"/>
      <c r="AB150" s="546"/>
      <c r="AC150" s="546"/>
    </row>
    <row r="151" spans="1:29" x14ac:dyDescent="0.25">
      <c r="A151" s="546"/>
      <c r="B151" s="546"/>
      <c r="C151" s="546"/>
      <c r="D151" s="546"/>
      <c r="E151" s="546"/>
      <c r="F151" s="546"/>
      <c r="G151" s="546"/>
      <c r="H151" s="546"/>
      <c r="I151" s="557"/>
      <c r="J151" s="546"/>
      <c r="K151" s="546"/>
      <c r="L151" s="546"/>
      <c r="M151" s="546"/>
      <c r="N151" s="546"/>
      <c r="O151" s="546"/>
      <c r="P151" s="546"/>
      <c r="Q151" s="546"/>
      <c r="R151" s="546"/>
      <c r="S151" s="546"/>
      <c r="T151" s="546"/>
      <c r="U151" s="546"/>
      <c r="V151" s="546"/>
      <c r="W151" s="546"/>
      <c r="X151" s="546"/>
      <c r="Y151" s="546"/>
      <c r="Z151" s="546"/>
      <c r="AA151" s="546"/>
      <c r="AB151" s="546"/>
      <c r="AC151" s="546"/>
    </row>
    <row r="152" spans="1:29" x14ac:dyDescent="0.25">
      <c r="A152" s="546"/>
      <c r="B152" s="546"/>
      <c r="C152" s="546"/>
      <c r="D152" s="546"/>
      <c r="E152" s="546"/>
      <c r="F152" s="546"/>
      <c r="G152" s="546"/>
      <c r="H152" s="546"/>
      <c r="I152" s="557"/>
      <c r="J152" s="546"/>
      <c r="K152" s="546"/>
      <c r="L152" s="546"/>
      <c r="M152" s="546"/>
      <c r="N152" s="546"/>
      <c r="O152" s="546"/>
      <c r="P152" s="546"/>
      <c r="Q152" s="546"/>
      <c r="R152" s="546"/>
      <c r="S152" s="546"/>
      <c r="T152" s="546"/>
      <c r="U152" s="546"/>
      <c r="V152" s="546"/>
      <c r="W152" s="546"/>
      <c r="X152" s="546"/>
      <c r="Y152" s="546"/>
      <c r="Z152" s="546"/>
      <c r="AA152" s="546"/>
      <c r="AB152" s="546"/>
      <c r="AC152" s="546"/>
    </row>
    <row r="153" spans="1:29" x14ac:dyDescent="0.25">
      <c r="A153" s="546"/>
      <c r="B153" s="546"/>
      <c r="C153" s="546"/>
      <c r="D153" s="546"/>
      <c r="E153" s="546"/>
      <c r="F153" s="546"/>
      <c r="G153" s="546"/>
      <c r="H153" s="546"/>
      <c r="I153" s="557"/>
      <c r="J153" s="546"/>
      <c r="K153" s="546"/>
      <c r="L153" s="546"/>
      <c r="M153" s="546"/>
      <c r="N153" s="546"/>
      <c r="O153" s="546"/>
      <c r="P153" s="546"/>
      <c r="Q153" s="546"/>
      <c r="R153" s="546"/>
      <c r="S153" s="546"/>
      <c r="T153" s="546"/>
      <c r="U153" s="546"/>
      <c r="V153" s="546"/>
      <c r="W153" s="546"/>
      <c r="X153" s="546"/>
      <c r="Y153" s="546"/>
      <c r="Z153" s="546"/>
      <c r="AA153" s="546"/>
      <c r="AB153" s="546"/>
      <c r="AC153" s="546"/>
    </row>
    <row r="154" spans="1:29" x14ac:dyDescent="0.25">
      <c r="A154" s="546"/>
      <c r="B154" s="546"/>
      <c r="C154" s="546"/>
      <c r="D154" s="546"/>
      <c r="E154" s="546"/>
      <c r="F154" s="546"/>
      <c r="G154" s="546"/>
      <c r="H154" s="546"/>
      <c r="I154" s="557"/>
      <c r="J154" s="546"/>
      <c r="K154" s="546"/>
      <c r="L154" s="546"/>
      <c r="M154" s="546"/>
      <c r="N154" s="546"/>
      <c r="O154" s="546"/>
      <c r="P154" s="546"/>
      <c r="Q154" s="546"/>
      <c r="R154" s="546"/>
      <c r="S154" s="546"/>
      <c r="T154" s="546"/>
      <c r="U154" s="546"/>
      <c r="V154" s="546"/>
      <c r="W154" s="546"/>
      <c r="X154" s="546"/>
      <c r="Y154" s="546"/>
      <c r="Z154" s="546"/>
      <c r="AA154" s="546"/>
      <c r="AB154" s="546"/>
      <c r="AC154" s="546"/>
    </row>
    <row r="155" spans="1:29" x14ac:dyDescent="0.25">
      <c r="A155" s="546"/>
      <c r="B155" s="546"/>
      <c r="C155" s="546"/>
      <c r="D155" s="546"/>
      <c r="E155" s="546"/>
      <c r="F155" s="546"/>
      <c r="G155" s="546"/>
      <c r="H155" s="546"/>
      <c r="I155" s="557"/>
      <c r="J155" s="546"/>
      <c r="K155" s="546"/>
      <c r="L155" s="546"/>
      <c r="M155" s="546"/>
      <c r="N155" s="546"/>
      <c r="O155" s="546"/>
      <c r="P155" s="546"/>
      <c r="Q155" s="546"/>
      <c r="R155" s="546"/>
      <c r="S155" s="546"/>
      <c r="T155" s="546"/>
      <c r="U155" s="546"/>
      <c r="V155" s="546"/>
      <c r="W155" s="546"/>
      <c r="X155" s="546"/>
      <c r="Y155" s="546"/>
      <c r="Z155" s="546"/>
      <c r="AA155" s="546"/>
      <c r="AB155" s="546"/>
      <c r="AC155" s="546"/>
    </row>
    <row r="156" spans="1:29" x14ac:dyDescent="0.25">
      <c r="A156" s="546"/>
      <c r="B156" s="546"/>
      <c r="C156" s="546"/>
      <c r="D156" s="546"/>
      <c r="E156" s="546"/>
      <c r="F156" s="546"/>
      <c r="G156" s="546"/>
      <c r="H156" s="546"/>
      <c r="I156" s="557"/>
      <c r="J156" s="546"/>
      <c r="K156" s="546"/>
      <c r="L156" s="546"/>
      <c r="M156" s="546"/>
      <c r="N156" s="546"/>
      <c r="O156" s="546"/>
      <c r="P156" s="546"/>
      <c r="Q156" s="546"/>
      <c r="R156" s="546"/>
      <c r="S156" s="546"/>
      <c r="T156" s="546"/>
      <c r="U156" s="546"/>
      <c r="V156" s="546"/>
      <c r="W156" s="546"/>
      <c r="X156" s="546"/>
      <c r="Y156" s="546"/>
      <c r="Z156" s="546"/>
      <c r="AA156" s="546"/>
      <c r="AB156" s="546"/>
      <c r="AC156" s="546"/>
    </row>
    <row r="157" spans="1:29" x14ac:dyDescent="0.25">
      <c r="A157" s="546"/>
      <c r="B157" s="546"/>
      <c r="C157" s="546"/>
      <c r="D157" s="546"/>
      <c r="E157" s="546"/>
      <c r="F157" s="546"/>
      <c r="G157" s="546"/>
      <c r="H157" s="546"/>
      <c r="I157" s="557"/>
      <c r="J157" s="546"/>
      <c r="K157" s="546"/>
      <c r="L157" s="546"/>
      <c r="M157" s="546"/>
      <c r="N157" s="546"/>
      <c r="O157" s="546"/>
      <c r="P157" s="546"/>
      <c r="Q157" s="546"/>
      <c r="R157" s="546"/>
      <c r="S157" s="546"/>
      <c r="T157" s="546"/>
      <c r="U157" s="546"/>
      <c r="V157" s="546"/>
      <c r="W157" s="546"/>
      <c r="X157" s="546"/>
      <c r="Y157" s="546"/>
      <c r="Z157" s="546"/>
      <c r="AA157" s="546"/>
      <c r="AB157" s="546"/>
      <c r="AC157" s="546"/>
    </row>
    <row r="158" spans="1:29" x14ac:dyDescent="0.25">
      <c r="A158" s="546"/>
      <c r="B158" s="546"/>
      <c r="C158" s="546"/>
      <c r="D158" s="546"/>
      <c r="E158" s="546"/>
      <c r="F158" s="546"/>
      <c r="G158" s="546"/>
      <c r="H158" s="546"/>
      <c r="I158" s="557"/>
      <c r="J158" s="546"/>
      <c r="K158" s="546"/>
      <c r="L158" s="546"/>
      <c r="M158" s="546"/>
      <c r="N158" s="546"/>
      <c r="O158" s="546"/>
      <c r="P158" s="546"/>
      <c r="Q158" s="546"/>
      <c r="R158" s="546"/>
      <c r="S158" s="546"/>
      <c r="T158" s="546"/>
      <c r="U158" s="546"/>
      <c r="V158" s="546"/>
      <c r="W158" s="546"/>
      <c r="X158" s="546"/>
      <c r="Y158" s="546"/>
      <c r="Z158" s="546"/>
      <c r="AA158" s="546"/>
      <c r="AB158" s="546"/>
      <c r="AC158" s="546"/>
    </row>
    <row r="159" spans="1:29" x14ac:dyDescent="0.25">
      <c r="A159" s="546"/>
      <c r="B159" s="546"/>
      <c r="C159" s="546"/>
      <c r="D159" s="546"/>
      <c r="E159" s="546"/>
      <c r="F159" s="546"/>
      <c r="G159" s="546"/>
      <c r="H159" s="546"/>
      <c r="I159" s="557"/>
      <c r="J159" s="546"/>
      <c r="K159" s="546"/>
      <c r="L159" s="546"/>
      <c r="M159" s="546"/>
      <c r="N159" s="546"/>
      <c r="O159" s="546"/>
      <c r="P159" s="546"/>
      <c r="Q159" s="546"/>
      <c r="R159" s="546"/>
      <c r="S159" s="546"/>
      <c r="T159" s="546"/>
      <c r="U159" s="546"/>
      <c r="V159" s="546"/>
      <c r="W159" s="546"/>
      <c r="X159" s="546"/>
      <c r="Y159" s="546"/>
      <c r="Z159" s="546"/>
      <c r="AA159" s="546"/>
      <c r="AB159" s="546"/>
      <c r="AC159" s="546"/>
    </row>
    <row r="160" spans="1:29" x14ac:dyDescent="0.25">
      <c r="A160" s="546"/>
      <c r="B160" s="546"/>
      <c r="C160" s="546"/>
      <c r="D160" s="546"/>
      <c r="E160" s="546"/>
      <c r="F160" s="546"/>
      <c r="G160" s="546"/>
      <c r="H160" s="546"/>
      <c r="I160" s="557"/>
      <c r="J160" s="546"/>
      <c r="K160" s="546"/>
      <c r="L160" s="546"/>
      <c r="M160" s="546"/>
      <c r="N160" s="546"/>
      <c r="O160" s="546"/>
      <c r="P160" s="546"/>
      <c r="Q160" s="546"/>
      <c r="R160" s="546"/>
      <c r="S160" s="546"/>
      <c r="T160" s="546"/>
      <c r="U160" s="546"/>
      <c r="V160" s="546"/>
      <c r="W160" s="546"/>
      <c r="X160" s="546"/>
      <c r="Y160" s="546"/>
      <c r="Z160" s="546"/>
      <c r="AA160" s="546"/>
      <c r="AB160" s="546"/>
      <c r="AC160" s="546"/>
    </row>
    <row r="161" spans="1:29" x14ac:dyDescent="0.25">
      <c r="A161" s="546"/>
      <c r="B161" s="546"/>
      <c r="C161" s="546"/>
      <c r="D161" s="546"/>
      <c r="E161" s="546"/>
      <c r="F161" s="546"/>
      <c r="G161" s="546"/>
      <c r="H161" s="546"/>
      <c r="I161" s="557"/>
      <c r="J161" s="546"/>
      <c r="K161" s="546"/>
      <c r="L161" s="546"/>
      <c r="M161" s="546"/>
      <c r="N161" s="546"/>
      <c r="O161" s="546"/>
      <c r="P161" s="546"/>
      <c r="Q161" s="546"/>
      <c r="R161" s="546"/>
      <c r="S161" s="546"/>
      <c r="T161" s="546"/>
      <c r="U161" s="546"/>
      <c r="V161" s="546"/>
      <c r="W161" s="546"/>
      <c r="X161" s="546"/>
      <c r="Y161" s="546"/>
      <c r="Z161" s="546"/>
      <c r="AA161" s="546"/>
      <c r="AB161" s="546"/>
      <c r="AC161" s="546"/>
    </row>
    <row r="162" spans="1:29" x14ac:dyDescent="0.25">
      <c r="A162" s="546"/>
      <c r="B162" s="546"/>
      <c r="C162" s="546"/>
      <c r="D162" s="546"/>
      <c r="E162" s="546"/>
      <c r="F162" s="546"/>
      <c r="G162" s="546"/>
      <c r="H162" s="546"/>
      <c r="I162" s="557"/>
      <c r="J162" s="546"/>
      <c r="K162" s="546"/>
      <c r="L162" s="546"/>
      <c r="M162" s="546"/>
      <c r="N162" s="546"/>
      <c r="O162" s="546"/>
      <c r="P162" s="546"/>
      <c r="Q162" s="546"/>
      <c r="R162" s="546"/>
      <c r="S162" s="546"/>
      <c r="T162" s="546"/>
      <c r="U162" s="546"/>
      <c r="V162" s="546"/>
      <c r="W162" s="546"/>
      <c r="X162" s="546"/>
      <c r="Y162" s="546"/>
      <c r="Z162" s="546"/>
      <c r="AA162" s="546"/>
      <c r="AB162" s="546"/>
      <c r="AC162" s="546"/>
    </row>
    <row r="163" spans="1:29" x14ac:dyDescent="0.25">
      <c r="A163" s="546"/>
      <c r="B163" s="546"/>
      <c r="C163" s="546"/>
      <c r="D163" s="546"/>
      <c r="E163" s="546"/>
      <c r="F163" s="546"/>
      <c r="G163" s="546"/>
      <c r="H163" s="546"/>
      <c r="I163" s="557"/>
      <c r="J163" s="546"/>
      <c r="K163" s="546"/>
      <c r="L163" s="546"/>
      <c r="M163" s="546"/>
      <c r="N163" s="546"/>
      <c r="O163" s="546"/>
      <c r="P163" s="546"/>
      <c r="Q163" s="546"/>
      <c r="R163" s="546"/>
      <c r="S163" s="546"/>
      <c r="T163" s="546"/>
      <c r="U163" s="546"/>
      <c r="V163" s="546"/>
      <c r="W163" s="546"/>
      <c r="X163" s="546"/>
      <c r="Y163" s="546"/>
      <c r="Z163" s="546"/>
      <c r="AA163" s="546"/>
      <c r="AB163" s="546"/>
      <c r="AC163" s="546"/>
    </row>
    <row r="164" spans="1:29" x14ac:dyDescent="0.25">
      <c r="A164" s="546"/>
      <c r="B164" s="546"/>
      <c r="C164" s="546"/>
      <c r="D164" s="546"/>
      <c r="E164" s="546"/>
      <c r="F164" s="546"/>
      <c r="G164" s="546"/>
      <c r="H164" s="546"/>
      <c r="I164" s="557"/>
      <c r="J164" s="546"/>
      <c r="K164" s="546"/>
      <c r="L164" s="546"/>
      <c r="M164" s="546"/>
      <c r="N164" s="546"/>
      <c r="O164" s="546"/>
      <c r="P164" s="546"/>
      <c r="Q164" s="546"/>
      <c r="R164" s="546"/>
      <c r="S164" s="546"/>
      <c r="T164" s="546"/>
      <c r="U164" s="546"/>
      <c r="V164" s="546"/>
      <c r="W164" s="546"/>
      <c r="X164" s="546"/>
      <c r="Y164" s="546"/>
      <c r="Z164" s="546"/>
      <c r="AA164" s="546"/>
      <c r="AB164" s="546"/>
      <c r="AC164" s="546"/>
    </row>
    <row r="165" spans="1:29" x14ac:dyDescent="0.25">
      <c r="A165" s="546"/>
      <c r="B165" s="546"/>
      <c r="C165" s="546"/>
      <c r="D165" s="546"/>
      <c r="E165" s="546"/>
      <c r="F165" s="546"/>
      <c r="G165" s="546"/>
      <c r="H165" s="546"/>
      <c r="I165" s="557"/>
      <c r="J165" s="546"/>
      <c r="K165" s="546"/>
      <c r="L165" s="546"/>
      <c r="M165" s="546"/>
      <c r="N165" s="546"/>
      <c r="O165" s="546"/>
      <c r="P165" s="546"/>
      <c r="Q165" s="546"/>
      <c r="R165" s="546"/>
      <c r="S165" s="546"/>
      <c r="T165" s="546"/>
      <c r="U165" s="546"/>
      <c r="V165" s="546"/>
      <c r="W165" s="546"/>
      <c r="X165" s="546"/>
      <c r="Y165" s="546"/>
      <c r="Z165" s="546"/>
      <c r="AA165" s="546"/>
      <c r="AB165" s="546"/>
      <c r="AC165" s="546"/>
    </row>
    <row r="166" spans="1:29" x14ac:dyDescent="0.25">
      <c r="A166" s="546"/>
      <c r="B166" s="546"/>
      <c r="C166" s="546"/>
      <c r="D166" s="546"/>
      <c r="E166" s="546"/>
      <c r="F166" s="546"/>
      <c r="G166" s="546"/>
      <c r="H166" s="546"/>
      <c r="I166" s="557"/>
      <c r="J166" s="546"/>
      <c r="K166" s="546"/>
      <c r="L166" s="546"/>
      <c r="M166" s="546"/>
      <c r="N166" s="546"/>
      <c r="O166" s="546"/>
      <c r="P166" s="546"/>
      <c r="Q166" s="546"/>
      <c r="R166" s="546"/>
      <c r="S166" s="546"/>
      <c r="T166" s="546"/>
      <c r="U166" s="546"/>
      <c r="V166" s="546"/>
      <c r="W166" s="546"/>
      <c r="X166" s="546"/>
      <c r="Y166" s="546"/>
      <c r="Z166" s="546"/>
      <c r="AA166" s="546"/>
      <c r="AB166" s="546"/>
      <c r="AC166" s="546"/>
    </row>
    <row r="167" spans="1:29" x14ac:dyDescent="0.25">
      <c r="A167" s="546"/>
      <c r="B167" s="546"/>
      <c r="C167" s="546"/>
      <c r="D167" s="546"/>
      <c r="E167" s="546"/>
      <c r="F167" s="546"/>
      <c r="G167" s="546"/>
      <c r="H167" s="546"/>
      <c r="I167" s="557"/>
      <c r="J167" s="546"/>
      <c r="K167" s="546"/>
      <c r="L167" s="546"/>
      <c r="M167" s="546"/>
      <c r="N167" s="546"/>
      <c r="O167" s="546"/>
      <c r="P167" s="546"/>
      <c r="Q167" s="546"/>
      <c r="R167" s="546"/>
      <c r="S167" s="546"/>
      <c r="T167" s="546"/>
      <c r="U167" s="546"/>
      <c r="V167" s="546"/>
      <c r="W167" s="546"/>
      <c r="X167" s="546"/>
      <c r="Y167" s="546"/>
      <c r="Z167" s="546"/>
      <c r="AA167" s="546"/>
      <c r="AB167" s="546"/>
      <c r="AC167" s="546"/>
    </row>
    <row r="168" spans="1:29" x14ac:dyDescent="0.25">
      <c r="A168" s="546"/>
      <c r="B168" s="546"/>
      <c r="C168" s="546"/>
      <c r="D168" s="546"/>
      <c r="E168" s="546"/>
      <c r="F168" s="546"/>
      <c r="G168" s="546"/>
      <c r="H168" s="546"/>
      <c r="I168" s="557"/>
      <c r="J168" s="546"/>
      <c r="K168" s="546"/>
      <c r="L168" s="546"/>
      <c r="M168" s="546"/>
      <c r="N168" s="546"/>
      <c r="O168" s="546"/>
      <c r="P168" s="546"/>
      <c r="Q168" s="546"/>
      <c r="R168" s="546"/>
      <c r="S168" s="546"/>
      <c r="T168" s="546"/>
      <c r="U168" s="546"/>
      <c r="V168" s="546"/>
      <c r="W168" s="546"/>
      <c r="X168" s="546"/>
      <c r="Y168" s="546"/>
      <c r="Z168" s="546"/>
      <c r="AA168" s="546"/>
      <c r="AB168" s="546"/>
      <c r="AC168" s="546"/>
    </row>
    <row r="169" spans="1:29" x14ac:dyDescent="0.25">
      <c r="A169" s="546"/>
      <c r="B169" s="546"/>
      <c r="C169" s="546"/>
      <c r="D169" s="546"/>
      <c r="E169" s="546"/>
      <c r="F169" s="546"/>
      <c r="G169" s="546"/>
      <c r="H169" s="546"/>
      <c r="I169" s="557"/>
      <c r="J169" s="546"/>
      <c r="K169" s="546"/>
      <c r="L169" s="546"/>
      <c r="M169" s="546"/>
      <c r="N169" s="546"/>
      <c r="O169" s="546"/>
      <c r="P169" s="546"/>
      <c r="Q169" s="546"/>
      <c r="R169" s="546"/>
      <c r="S169" s="546"/>
      <c r="T169" s="546"/>
      <c r="U169" s="546"/>
      <c r="V169" s="546"/>
      <c r="W169" s="546"/>
      <c r="X169" s="546"/>
      <c r="Y169" s="546"/>
      <c r="Z169" s="546"/>
      <c r="AA169" s="546"/>
      <c r="AB169" s="546"/>
      <c r="AC169" s="546"/>
    </row>
    <row r="170" spans="1:29" x14ac:dyDescent="0.25">
      <c r="A170" s="546"/>
      <c r="B170" s="546"/>
      <c r="C170" s="546"/>
      <c r="D170" s="546"/>
      <c r="E170" s="546"/>
      <c r="F170" s="546"/>
      <c r="G170" s="546"/>
      <c r="H170" s="546"/>
      <c r="I170" s="557"/>
      <c r="J170" s="546"/>
      <c r="K170" s="546"/>
      <c r="L170" s="546"/>
      <c r="M170" s="546"/>
      <c r="N170" s="546"/>
      <c r="O170" s="546"/>
      <c r="P170" s="546"/>
      <c r="Q170" s="546"/>
      <c r="R170" s="546"/>
      <c r="S170" s="546"/>
      <c r="T170" s="546"/>
      <c r="U170" s="546"/>
      <c r="V170" s="546"/>
      <c r="W170" s="546"/>
      <c r="X170" s="546"/>
      <c r="Y170" s="546"/>
      <c r="Z170" s="546"/>
      <c r="AA170" s="546"/>
      <c r="AB170" s="546"/>
      <c r="AC170" s="546"/>
    </row>
    <row r="171" spans="1:29" x14ac:dyDescent="0.25">
      <c r="A171" s="546"/>
      <c r="B171" s="546"/>
      <c r="C171" s="546"/>
      <c r="D171" s="546"/>
      <c r="E171" s="546"/>
      <c r="F171" s="546"/>
      <c r="G171" s="546"/>
      <c r="H171" s="546"/>
      <c r="I171" s="557"/>
      <c r="J171" s="546"/>
      <c r="K171" s="546"/>
      <c r="L171" s="546"/>
      <c r="M171" s="546"/>
      <c r="N171" s="546"/>
      <c r="O171" s="546"/>
      <c r="P171" s="546"/>
      <c r="Q171" s="546"/>
      <c r="R171" s="546"/>
      <c r="S171" s="546"/>
      <c r="T171" s="546"/>
      <c r="U171" s="546"/>
      <c r="V171" s="546"/>
      <c r="W171" s="546"/>
      <c r="X171" s="546"/>
      <c r="Y171" s="546"/>
      <c r="Z171" s="546"/>
      <c r="AA171" s="546"/>
      <c r="AB171" s="546"/>
      <c r="AC171" s="546"/>
    </row>
    <row r="172" spans="1:29" x14ac:dyDescent="0.25">
      <c r="A172" s="546"/>
      <c r="B172" s="546"/>
      <c r="C172" s="546"/>
      <c r="D172" s="546"/>
      <c r="E172" s="546"/>
      <c r="F172" s="546"/>
      <c r="G172" s="546"/>
      <c r="H172" s="546"/>
      <c r="I172" s="557"/>
      <c r="J172" s="546"/>
      <c r="K172" s="546"/>
      <c r="L172" s="546"/>
      <c r="M172" s="546"/>
      <c r="N172" s="546"/>
      <c r="O172" s="546"/>
      <c r="P172" s="546"/>
      <c r="Q172" s="546"/>
      <c r="R172" s="546"/>
      <c r="S172" s="546"/>
      <c r="T172" s="546"/>
      <c r="U172" s="546"/>
      <c r="V172" s="546"/>
      <c r="W172" s="546"/>
      <c r="X172" s="546"/>
      <c r="Y172" s="546"/>
      <c r="Z172" s="546"/>
      <c r="AA172" s="546"/>
      <c r="AB172" s="546"/>
      <c r="AC172" s="546"/>
    </row>
    <row r="173" spans="1:29" x14ac:dyDescent="0.25">
      <c r="A173" s="546"/>
      <c r="B173" s="546"/>
      <c r="C173" s="546"/>
      <c r="D173" s="546"/>
      <c r="E173" s="546"/>
      <c r="F173" s="546"/>
      <c r="G173" s="546"/>
      <c r="H173" s="546"/>
      <c r="I173" s="557"/>
      <c r="J173" s="546"/>
      <c r="K173" s="546"/>
      <c r="L173" s="546"/>
      <c r="M173" s="546"/>
      <c r="N173" s="546"/>
      <c r="O173" s="546"/>
      <c r="P173" s="546"/>
      <c r="Q173" s="546"/>
      <c r="R173" s="546"/>
      <c r="S173" s="546"/>
      <c r="T173" s="546"/>
      <c r="U173" s="546"/>
      <c r="V173" s="546"/>
      <c r="W173" s="546"/>
      <c r="X173" s="546"/>
      <c r="Y173" s="546"/>
      <c r="Z173" s="546"/>
      <c r="AA173" s="546"/>
      <c r="AB173" s="546"/>
      <c r="AC173" s="546"/>
    </row>
    <row r="174" spans="1:29" x14ac:dyDescent="0.25">
      <c r="A174" s="546"/>
      <c r="B174" s="546"/>
      <c r="C174" s="546"/>
      <c r="D174" s="546"/>
      <c r="E174" s="546"/>
      <c r="F174" s="546"/>
      <c r="G174" s="546"/>
      <c r="H174" s="546"/>
      <c r="I174" s="557"/>
      <c r="J174" s="546"/>
      <c r="K174" s="546"/>
      <c r="L174" s="546"/>
      <c r="M174" s="546"/>
      <c r="N174" s="546"/>
      <c r="O174" s="546"/>
      <c r="P174" s="546"/>
      <c r="Q174" s="546"/>
      <c r="R174" s="546"/>
      <c r="S174" s="546"/>
      <c r="T174" s="546"/>
      <c r="U174" s="546"/>
      <c r="V174" s="546"/>
      <c r="W174" s="546"/>
      <c r="X174" s="546"/>
      <c r="Y174" s="546"/>
      <c r="Z174" s="546"/>
      <c r="AA174" s="546"/>
      <c r="AB174" s="546"/>
      <c r="AC174" s="546"/>
    </row>
    <row r="175" spans="1:29" x14ac:dyDescent="0.25">
      <c r="A175" s="546"/>
      <c r="B175" s="546"/>
      <c r="C175" s="546"/>
      <c r="D175" s="546"/>
      <c r="E175" s="546"/>
      <c r="F175" s="546"/>
      <c r="G175" s="546"/>
      <c r="H175" s="546"/>
      <c r="I175" s="557"/>
      <c r="J175" s="546"/>
      <c r="K175" s="546"/>
      <c r="L175" s="546"/>
      <c r="M175" s="546"/>
      <c r="N175" s="546"/>
      <c r="O175" s="546"/>
      <c r="P175" s="546"/>
      <c r="Q175" s="546"/>
      <c r="R175" s="546"/>
      <c r="S175" s="546"/>
      <c r="T175" s="546"/>
      <c r="U175" s="546"/>
      <c r="V175" s="546"/>
      <c r="W175" s="546"/>
      <c r="X175" s="546"/>
      <c r="Y175" s="546"/>
      <c r="Z175" s="546"/>
      <c r="AA175" s="546"/>
      <c r="AB175" s="546"/>
      <c r="AC175" s="546"/>
    </row>
    <row r="176" spans="1:29" x14ac:dyDescent="0.25">
      <c r="A176" s="546"/>
      <c r="B176" s="546"/>
      <c r="C176" s="546"/>
      <c r="D176" s="546"/>
      <c r="E176" s="546"/>
      <c r="F176" s="546"/>
      <c r="G176" s="546"/>
      <c r="H176" s="546"/>
      <c r="I176" s="557"/>
      <c r="J176" s="546"/>
      <c r="K176" s="546"/>
      <c r="L176" s="546"/>
      <c r="M176" s="546"/>
      <c r="N176" s="546"/>
      <c r="O176" s="546"/>
      <c r="P176" s="546"/>
      <c r="Q176" s="546"/>
      <c r="R176" s="546"/>
      <c r="S176" s="546"/>
      <c r="T176" s="546"/>
      <c r="U176" s="546"/>
      <c r="V176" s="546"/>
      <c r="W176" s="546"/>
      <c r="X176" s="546"/>
      <c r="Y176" s="546"/>
      <c r="Z176" s="546"/>
      <c r="AA176" s="546"/>
      <c r="AB176" s="546"/>
      <c r="AC176" s="546"/>
    </row>
    <row r="177" spans="1:29" x14ac:dyDescent="0.25">
      <c r="A177" s="546"/>
      <c r="B177" s="546"/>
      <c r="C177" s="546"/>
      <c r="D177" s="546"/>
      <c r="E177" s="546"/>
      <c r="F177" s="546"/>
      <c r="G177" s="546"/>
      <c r="H177" s="546"/>
      <c r="I177" s="557"/>
      <c r="J177" s="546"/>
      <c r="K177" s="546"/>
      <c r="L177" s="546"/>
      <c r="M177" s="546"/>
      <c r="N177" s="546"/>
      <c r="O177" s="546"/>
      <c r="P177" s="546"/>
      <c r="Q177" s="546"/>
      <c r="R177" s="546"/>
      <c r="S177" s="546"/>
      <c r="T177" s="546"/>
      <c r="U177" s="546"/>
      <c r="V177" s="546"/>
      <c r="W177" s="546"/>
      <c r="X177" s="546"/>
      <c r="Y177" s="546"/>
      <c r="Z177" s="546"/>
      <c r="AA177" s="546"/>
      <c r="AB177" s="546"/>
      <c r="AC177" s="546"/>
    </row>
    <row r="178" spans="1:29" x14ac:dyDescent="0.25">
      <c r="A178" s="546"/>
      <c r="B178" s="546"/>
      <c r="C178" s="546"/>
      <c r="D178" s="546"/>
      <c r="E178" s="546"/>
      <c r="F178" s="546"/>
      <c r="G178" s="546"/>
      <c r="H178" s="546"/>
      <c r="I178" s="557"/>
      <c r="J178" s="546"/>
      <c r="K178" s="546"/>
      <c r="L178" s="546"/>
      <c r="M178" s="546"/>
      <c r="N178" s="546"/>
      <c r="O178" s="546"/>
      <c r="P178" s="546"/>
      <c r="Q178" s="546"/>
      <c r="R178" s="546"/>
      <c r="S178" s="546"/>
      <c r="T178" s="546"/>
      <c r="U178" s="546"/>
      <c r="V178" s="546"/>
      <c r="W178" s="546"/>
      <c r="X178" s="546"/>
      <c r="Y178" s="546"/>
      <c r="Z178" s="546"/>
      <c r="AA178" s="546"/>
      <c r="AB178" s="546"/>
      <c r="AC178" s="546"/>
    </row>
    <row r="179" spans="1:29" x14ac:dyDescent="0.25">
      <c r="A179" s="546"/>
      <c r="B179" s="546"/>
      <c r="C179" s="546"/>
      <c r="D179" s="546"/>
      <c r="E179" s="546"/>
      <c r="F179" s="546"/>
      <c r="G179" s="546"/>
      <c r="H179" s="546"/>
      <c r="I179" s="557"/>
      <c r="J179" s="546"/>
      <c r="K179" s="546"/>
      <c r="L179" s="546"/>
      <c r="M179" s="546"/>
      <c r="N179" s="546"/>
      <c r="O179" s="546"/>
      <c r="P179" s="546"/>
      <c r="Q179" s="546"/>
      <c r="R179" s="546"/>
      <c r="S179" s="546"/>
      <c r="T179" s="546"/>
      <c r="U179" s="546"/>
      <c r="V179" s="546"/>
      <c r="W179" s="546"/>
      <c r="X179" s="546"/>
      <c r="Y179" s="546"/>
      <c r="Z179" s="546"/>
      <c r="AA179" s="546"/>
      <c r="AB179" s="546"/>
      <c r="AC179" s="546"/>
    </row>
    <row r="180" spans="1:29" x14ac:dyDescent="0.25">
      <c r="A180" s="546"/>
      <c r="B180" s="546"/>
      <c r="C180" s="546"/>
      <c r="D180" s="546"/>
      <c r="E180" s="546"/>
      <c r="F180" s="546"/>
      <c r="G180" s="546"/>
      <c r="H180" s="546"/>
      <c r="I180" s="557"/>
      <c r="J180" s="546"/>
      <c r="K180" s="546"/>
      <c r="L180" s="546"/>
      <c r="M180" s="546"/>
      <c r="N180" s="546"/>
      <c r="O180" s="546"/>
      <c r="P180" s="546"/>
      <c r="Q180" s="546"/>
      <c r="R180" s="546"/>
      <c r="S180" s="546"/>
      <c r="T180" s="546"/>
      <c r="U180" s="546"/>
      <c r="V180" s="546"/>
      <c r="W180" s="546"/>
      <c r="X180" s="546"/>
      <c r="Y180" s="546"/>
      <c r="Z180" s="546"/>
      <c r="AA180" s="546"/>
      <c r="AB180" s="546"/>
      <c r="AC180" s="546"/>
    </row>
    <row r="181" spans="1:29" x14ac:dyDescent="0.25">
      <c r="A181" s="546"/>
      <c r="B181" s="546"/>
      <c r="C181" s="546"/>
      <c r="D181" s="546"/>
      <c r="E181" s="546"/>
      <c r="F181" s="546"/>
      <c r="G181" s="546"/>
      <c r="H181" s="546"/>
      <c r="I181" s="557"/>
      <c r="J181" s="546"/>
      <c r="K181" s="546"/>
      <c r="L181" s="546"/>
      <c r="M181" s="546"/>
      <c r="N181" s="546"/>
      <c r="O181" s="546"/>
      <c r="P181" s="546"/>
      <c r="Q181" s="546"/>
      <c r="R181" s="546"/>
      <c r="S181" s="546"/>
      <c r="T181" s="546"/>
      <c r="U181" s="546"/>
      <c r="V181" s="546"/>
      <c r="W181" s="546"/>
      <c r="X181" s="546"/>
      <c r="Y181" s="546"/>
      <c r="Z181" s="546"/>
      <c r="AA181" s="546"/>
      <c r="AB181" s="546"/>
      <c r="AC181" s="546"/>
    </row>
    <row r="182" spans="1:29" x14ac:dyDescent="0.25">
      <c r="A182" s="546"/>
      <c r="B182" s="546"/>
      <c r="C182" s="546"/>
      <c r="D182" s="546"/>
      <c r="E182" s="546"/>
      <c r="F182" s="546"/>
      <c r="G182" s="546"/>
      <c r="H182" s="546"/>
      <c r="I182" s="557"/>
      <c r="J182" s="546"/>
      <c r="K182" s="546"/>
      <c r="L182" s="546"/>
      <c r="M182" s="546"/>
      <c r="N182" s="546"/>
      <c r="O182" s="546"/>
      <c r="P182" s="546"/>
      <c r="Q182" s="546"/>
      <c r="R182" s="546"/>
      <c r="S182" s="546"/>
      <c r="T182" s="546"/>
      <c r="U182" s="546"/>
      <c r="V182" s="546"/>
      <c r="W182" s="546"/>
      <c r="X182" s="546"/>
      <c r="Y182" s="546"/>
      <c r="Z182" s="546"/>
      <c r="AA182" s="546"/>
      <c r="AB182" s="546"/>
      <c r="AC182" s="546"/>
    </row>
    <row r="183" spans="1:29" x14ac:dyDescent="0.25">
      <c r="A183" s="546"/>
      <c r="B183" s="546"/>
      <c r="C183" s="546"/>
      <c r="D183" s="546"/>
      <c r="E183" s="546"/>
      <c r="F183" s="546"/>
      <c r="G183" s="546"/>
      <c r="H183" s="546"/>
      <c r="I183" s="557"/>
      <c r="J183" s="546"/>
      <c r="K183" s="546"/>
      <c r="L183" s="546"/>
      <c r="M183" s="546"/>
      <c r="N183" s="546"/>
      <c r="O183" s="546"/>
      <c r="P183" s="546"/>
      <c r="Q183" s="546"/>
      <c r="R183" s="546"/>
      <c r="S183" s="546"/>
      <c r="T183" s="546"/>
      <c r="U183" s="546"/>
      <c r="V183" s="546"/>
      <c r="W183" s="546"/>
      <c r="X183" s="546"/>
      <c r="Y183" s="546"/>
      <c r="Z183" s="546"/>
      <c r="AA183" s="546"/>
      <c r="AB183" s="546"/>
      <c r="AC183" s="546"/>
    </row>
    <row r="184" spans="1:29" x14ac:dyDescent="0.25">
      <c r="A184" s="546"/>
      <c r="B184" s="546"/>
      <c r="C184" s="546"/>
      <c r="D184" s="546"/>
      <c r="E184" s="546"/>
      <c r="F184" s="546"/>
      <c r="G184" s="546"/>
      <c r="H184" s="546"/>
      <c r="I184" s="557"/>
      <c r="J184" s="546"/>
      <c r="K184" s="546"/>
      <c r="L184" s="546"/>
      <c r="M184" s="546"/>
      <c r="N184" s="546"/>
      <c r="O184" s="546"/>
      <c r="P184" s="546"/>
      <c r="Q184" s="546"/>
      <c r="R184" s="546"/>
      <c r="S184" s="546"/>
      <c r="T184" s="546"/>
      <c r="U184" s="546"/>
      <c r="V184" s="546"/>
      <c r="W184" s="546"/>
      <c r="X184" s="546"/>
      <c r="Y184" s="546"/>
      <c r="Z184" s="546"/>
      <c r="AA184" s="546"/>
      <c r="AB184" s="546"/>
      <c r="AC184" s="546"/>
    </row>
    <row r="185" spans="1:29" x14ac:dyDescent="0.25">
      <c r="A185" s="546"/>
      <c r="B185" s="546"/>
      <c r="C185" s="546"/>
      <c r="D185" s="546"/>
      <c r="E185" s="546"/>
      <c r="F185" s="546"/>
      <c r="G185" s="546"/>
      <c r="H185" s="546"/>
      <c r="I185" s="557"/>
      <c r="J185" s="546"/>
      <c r="K185" s="546"/>
      <c r="L185" s="546"/>
      <c r="M185" s="546"/>
      <c r="N185" s="546"/>
      <c r="O185" s="546"/>
      <c r="P185" s="546"/>
      <c r="Q185" s="546"/>
      <c r="R185" s="546"/>
      <c r="S185" s="546"/>
      <c r="T185" s="546"/>
      <c r="U185" s="546"/>
      <c r="V185" s="546"/>
      <c r="W185" s="546"/>
      <c r="X185" s="546"/>
      <c r="Y185" s="546"/>
      <c r="Z185" s="546"/>
      <c r="AA185" s="546"/>
      <c r="AB185" s="546"/>
      <c r="AC185" s="546"/>
    </row>
    <row r="186" spans="1:29" x14ac:dyDescent="0.25">
      <c r="A186" s="546"/>
      <c r="B186" s="546"/>
      <c r="C186" s="546"/>
      <c r="D186" s="546"/>
      <c r="E186" s="546"/>
      <c r="F186" s="546"/>
      <c r="G186" s="546"/>
      <c r="H186" s="546"/>
      <c r="I186" s="557"/>
      <c r="J186" s="546"/>
      <c r="K186" s="546"/>
      <c r="L186" s="546"/>
      <c r="M186" s="546"/>
      <c r="N186" s="546"/>
      <c r="O186" s="546"/>
      <c r="P186" s="546"/>
      <c r="Q186" s="546"/>
      <c r="R186" s="546"/>
      <c r="S186" s="546"/>
      <c r="T186" s="546"/>
      <c r="U186" s="546"/>
      <c r="V186" s="546"/>
      <c r="W186" s="546"/>
      <c r="X186" s="546"/>
      <c r="Y186" s="546"/>
      <c r="Z186" s="546"/>
      <c r="AA186" s="546"/>
      <c r="AB186" s="546"/>
      <c r="AC186" s="546"/>
    </row>
    <row r="187" spans="1:29" x14ac:dyDescent="0.25">
      <c r="A187" s="546"/>
      <c r="B187" s="546"/>
      <c r="C187" s="546"/>
      <c r="D187" s="546"/>
      <c r="E187" s="546"/>
      <c r="F187" s="546"/>
      <c r="G187" s="546"/>
      <c r="H187" s="546"/>
      <c r="I187" s="557"/>
      <c r="J187" s="546"/>
      <c r="K187" s="546"/>
      <c r="L187" s="546"/>
      <c r="M187" s="546"/>
      <c r="N187" s="546"/>
      <c r="O187" s="546"/>
      <c r="P187" s="546"/>
      <c r="Q187" s="546"/>
      <c r="R187" s="546"/>
      <c r="S187" s="546"/>
      <c r="T187" s="546"/>
      <c r="U187" s="546"/>
      <c r="V187" s="546"/>
      <c r="W187" s="546"/>
      <c r="X187" s="546"/>
      <c r="Y187" s="546"/>
      <c r="Z187" s="546"/>
      <c r="AA187" s="546"/>
      <c r="AB187" s="546"/>
      <c r="AC187" s="546"/>
    </row>
    <row r="188" spans="1:29" x14ac:dyDescent="0.25">
      <c r="A188" s="546"/>
      <c r="B188" s="546"/>
      <c r="C188" s="546"/>
      <c r="D188" s="546"/>
      <c r="E188" s="546"/>
      <c r="F188" s="546"/>
      <c r="G188" s="546"/>
      <c r="H188" s="546"/>
      <c r="I188" s="557"/>
      <c r="J188" s="546"/>
      <c r="K188" s="546"/>
      <c r="L188" s="546"/>
      <c r="M188" s="546"/>
      <c r="N188" s="546"/>
      <c r="O188" s="546"/>
      <c r="P188" s="546"/>
      <c r="Q188" s="546"/>
      <c r="R188" s="546"/>
      <c r="S188" s="546"/>
      <c r="T188" s="546"/>
      <c r="U188" s="546"/>
      <c r="V188" s="546"/>
      <c r="W188" s="546"/>
      <c r="X188" s="546"/>
      <c r="Y188" s="546"/>
      <c r="Z188" s="546"/>
      <c r="AA188" s="546"/>
      <c r="AB188" s="546"/>
      <c r="AC188" s="546"/>
    </row>
    <row r="189" spans="1:29" x14ac:dyDescent="0.25">
      <c r="A189" s="546"/>
      <c r="B189" s="546"/>
      <c r="C189" s="546"/>
      <c r="D189" s="546"/>
      <c r="E189" s="546"/>
      <c r="F189" s="546"/>
      <c r="G189" s="546"/>
      <c r="H189" s="546"/>
      <c r="I189" s="557"/>
      <c r="J189" s="546"/>
      <c r="K189" s="546"/>
      <c r="L189" s="546"/>
      <c r="M189" s="546"/>
      <c r="N189" s="546"/>
      <c r="O189" s="546"/>
      <c r="P189" s="546"/>
      <c r="Q189" s="546"/>
      <c r="R189" s="546"/>
      <c r="S189" s="546"/>
      <c r="T189" s="546"/>
      <c r="U189" s="546"/>
      <c r="V189" s="546"/>
      <c r="W189" s="546"/>
      <c r="X189" s="546"/>
      <c r="Y189" s="546"/>
      <c r="Z189" s="546"/>
      <c r="AA189" s="546"/>
      <c r="AB189" s="546"/>
      <c r="AC189" s="546"/>
    </row>
    <row r="190" spans="1:29" x14ac:dyDescent="0.25">
      <c r="A190" s="546"/>
      <c r="B190" s="546"/>
      <c r="C190" s="546"/>
      <c r="D190" s="546"/>
      <c r="E190" s="546"/>
      <c r="F190" s="546"/>
      <c r="G190" s="546"/>
      <c r="H190" s="546"/>
      <c r="I190" s="557"/>
      <c r="J190" s="546"/>
      <c r="K190" s="546"/>
      <c r="L190" s="546"/>
      <c r="M190" s="546"/>
      <c r="N190" s="546"/>
      <c r="O190" s="546"/>
      <c r="P190" s="546"/>
      <c r="Q190" s="546"/>
      <c r="R190" s="546"/>
      <c r="S190" s="546"/>
      <c r="T190" s="546"/>
      <c r="U190" s="546"/>
      <c r="V190" s="546"/>
      <c r="W190" s="546"/>
      <c r="X190" s="546"/>
      <c r="Y190" s="546"/>
      <c r="Z190" s="546"/>
      <c r="AA190" s="546"/>
      <c r="AB190" s="546"/>
      <c r="AC190" s="546"/>
    </row>
    <row r="191" spans="1:29" x14ac:dyDescent="0.25">
      <c r="A191" s="546"/>
      <c r="B191" s="546"/>
      <c r="C191" s="546"/>
      <c r="D191" s="546"/>
      <c r="E191" s="546"/>
      <c r="F191" s="546"/>
      <c r="G191" s="546"/>
      <c r="H191" s="546"/>
      <c r="I191" s="557"/>
      <c r="J191" s="546"/>
      <c r="K191" s="546"/>
      <c r="L191" s="546"/>
      <c r="M191" s="546"/>
      <c r="N191" s="546"/>
      <c r="O191" s="546"/>
      <c r="P191" s="546"/>
      <c r="Q191" s="546"/>
      <c r="R191" s="546"/>
      <c r="S191" s="546"/>
      <c r="T191" s="546"/>
      <c r="U191" s="546"/>
      <c r="V191" s="546"/>
      <c r="W191" s="546"/>
      <c r="X191" s="546"/>
      <c r="Y191" s="546"/>
      <c r="Z191" s="546"/>
      <c r="AA191" s="546"/>
      <c r="AB191" s="546"/>
      <c r="AC191" s="546"/>
    </row>
    <row r="192" spans="1:29" x14ac:dyDescent="0.25">
      <c r="A192" s="546"/>
      <c r="B192" s="546"/>
      <c r="C192" s="546"/>
      <c r="D192" s="546"/>
      <c r="E192" s="546"/>
      <c r="F192" s="546"/>
      <c r="G192" s="546"/>
      <c r="H192" s="546"/>
      <c r="I192" s="557"/>
      <c r="J192" s="546"/>
      <c r="K192" s="546"/>
      <c r="L192" s="546"/>
      <c r="M192" s="546"/>
      <c r="N192" s="546"/>
      <c r="O192" s="546"/>
      <c r="P192" s="546"/>
      <c r="Q192" s="546"/>
      <c r="R192" s="546"/>
      <c r="S192" s="546"/>
      <c r="T192" s="546"/>
      <c r="U192" s="546"/>
      <c r="V192" s="546"/>
      <c r="W192" s="546"/>
      <c r="X192" s="546"/>
      <c r="Y192" s="546"/>
      <c r="Z192" s="546"/>
      <c r="AA192" s="546"/>
      <c r="AB192" s="546"/>
      <c r="AC192" s="546"/>
    </row>
    <row r="193" spans="1:29" x14ac:dyDescent="0.25">
      <c r="A193" s="546"/>
      <c r="B193" s="546"/>
      <c r="C193" s="546"/>
      <c r="D193" s="546"/>
      <c r="E193" s="546"/>
      <c r="F193" s="546"/>
      <c r="G193" s="546"/>
      <c r="H193" s="546"/>
      <c r="I193" s="557"/>
      <c r="J193" s="546"/>
      <c r="K193" s="546"/>
      <c r="L193" s="546"/>
      <c r="M193" s="546"/>
      <c r="N193" s="546"/>
      <c r="O193" s="546"/>
      <c r="P193" s="546"/>
      <c r="Q193" s="546"/>
      <c r="R193" s="546"/>
      <c r="S193" s="546"/>
      <c r="T193" s="546"/>
      <c r="U193" s="546"/>
      <c r="V193" s="546"/>
      <c r="W193" s="546"/>
      <c r="X193" s="546"/>
      <c r="Y193" s="546"/>
      <c r="Z193" s="546"/>
      <c r="AA193" s="546"/>
      <c r="AB193" s="546"/>
      <c r="AC193" s="546"/>
    </row>
    <row r="194" spans="1:29" x14ac:dyDescent="0.25">
      <c r="A194" s="546"/>
      <c r="B194" s="546"/>
      <c r="C194" s="546"/>
      <c r="D194" s="546"/>
      <c r="E194" s="546"/>
      <c r="F194" s="546"/>
      <c r="G194" s="546"/>
      <c r="H194" s="546"/>
      <c r="I194" s="557"/>
      <c r="J194" s="546"/>
      <c r="K194" s="546"/>
      <c r="L194" s="546"/>
      <c r="M194" s="546"/>
      <c r="N194" s="546"/>
      <c r="O194" s="546"/>
      <c r="P194" s="546"/>
      <c r="Q194" s="546"/>
      <c r="R194" s="546"/>
      <c r="S194" s="546"/>
      <c r="T194" s="546"/>
      <c r="U194" s="546"/>
      <c r="V194" s="546"/>
      <c r="W194" s="546"/>
      <c r="X194" s="546"/>
      <c r="Y194" s="546"/>
      <c r="Z194" s="546"/>
      <c r="AA194" s="546"/>
      <c r="AB194" s="546"/>
      <c r="AC194" s="546"/>
    </row>
    <row r="195" spans="1:29" x14ac:dyDescent="0.25">
      <c r="A195" s="546"/>
      <c r="B195" s="546"/>
      <c r="C195" s="546"/>
      <c r="D195" s="546"/>
      <c r="E195" s="546"/>
      <c r="F195" s="546"/>
      <c r="G195" s="546"/>
      <c r="H195" s="546"/>
      <c r="I195" s="557"/>
      <c r="J195" s="546"/>
      <c r="K195" s="546"/>
      <c r="L195" s="546"/>
      <c r="M195" s="546"/>
      <c r="N195" s="546"/>
      <c r="O195" s="546"/>
      <c r="P195" s="546"/>
      <c r="Q195" s="546"/>
      <c r="R195" s="546"/>
      <c r="S195" s="546"/>
      <c r="T195" s="546"/>
      <c r="U195" s="546"/>
      <c r="V195" s="546"/>
      <c r="W195" s="546"/>
      <c r="X195" s="546"/>
      <c r="Y195" s="546"/>
      <c r="Z195" s="546"/>
      <c r="AA195" s="546"/>
      <c r="AB195" s="546"/>
      <c r="AC195" s="546"/>
    </row>
    <row r="196" spans="1:29" x14ac:dyDescent="0.25">
      <c r="A196" s="546"/>
      <c r="B196" s="546"/>
      <c r="C196" s="546"/>
      <c r="D196" s="546"/>
      <c r="E196" s="546"/>
      <c r="F196" s="546"/>
      <c r="G196" s="546"/>
      <c r="H196" s="546"/>
      <c r="I196" s="557"/>
      <c r="J196" s="546"/>
      <c r="K196" s="546"/>
      <c r="L196" s="546"/>
      <c r="M196" s="546"/>
      <c r="N196" s="546"/>
      <c r="O196" s="546"/>
      <c r="P196" s="546"/>
      <c r="Q196" s="546"/>
      <c r="R196" s="546"/>
      <c r="S196" s="546"/>
      <c r="T196" s="546"/>
      <c r="U196" s="546"/>
      <c r="V196" s="546"/>
      <c r="W196" s="546"/>
      <c r="X196" s="546"/>
      <c r="Y196" s="546"/>
      <c r="Z196" s="546"/>
      <c r="AA196" s="546"/>
      <c r="AB196" s="546"/>
      <c r="AC196" s="546"/>
    </row>
    <row r="197" spans="1:29" x14ac:dyDescent="0.25">
      <c r="A197" s="546"/>
      <c r="B197" s="546"/>
      <c r="C197" s="546"/>
      <c r="D197" s="546"/>
      <c r="E197" s="546"/>
      <c r="F197" s="546"/>
      <c r="G197" s="546"/>
      <c r="H197" s="546"/>
      <c r="I197" s="557"/>
      <c r="J197" s="546"/>
      <c r="K197" s="546"/>
      <c r="L197" s="546"/>
      <c r="M197" s="546"/>
      <c r="N197" s="546"/>
      <c r="O197" s="546"/>
      <c r="P197" s="546"/>
      <c r="Q197" s="546"/>
      <c r="R197" s="546"/>
      <c r="S197" s="546"/>
      <c r="T197" s="546"/>
      <c r="U197" s="546"/>
      <c r="V197" s="546"/>
      <c r="W197" s="546"/>
      <c r="X197" s="546"/>
      <c r="Y197" s="546"/>
      <c r="Z197" s="546"/>
      <c r="AA197" s="546"/>
      <c r="AB197" s="546"/>
      <c r="AC197" s="546"/>
    </row>
    <row r="198" spans="1:29" x14ac:dyDescent="0.25">
      <c r="A198" s="546"/>
      <c r="B198" s="546"/>
      <c r="C198" s="546"/>
      <c r="D198" s="546"/>
      <c r="E198" s="546"/>
      <c r="F198" s="546"/>
      <c r="G198" s="546"/>
      <c r="H198" s="546"/>
      <c r="I198" s="557"/>
      <c r="J198" s="546"/>
      <c r="K198" s="546"/>
      <c r="L198" s="546"/>
      <c r="M198" s="546"/>
      <c r="N198" s="546"/>
      <c r="O198" s="546"/>
      <c r="P198" s="546"/>
      <c r="Q198" s="546"/>
      <c r="R198" s="546"/>
      <c r="S198" s="546"/>
      <c r="T198" s="546"/>
      <c r="U198" s="546"/>
      <c r="V198" s="546"/>
      <c r="W198" s="546"/>
      <c r="X198" s="546"/>
      <c r="Y198" s="546"/>
      <c r="Z198" s="546"/>
      <c r="AA198" s="546"/>
      <c r="AB198" s="546"/>
      <c r="AC198" s="546"/>
    </row>
    <row r="199" spans="1:29" x14ac:dyDescent="0.25">
      <c r="A199" s="546"/>
      <c r="B199" s="546"/>
      <c r="C199" s="546"/>
      <c r="D199" s="546"/>
      <c r="E199" s="546"/>
      <c r="F199" s="546"/>
      <c r="G199" s="546"/>
      <c r="H199" s="546"/>
      <c r="I199" s="557"/>
      <c r="J199" s="546"/>
      <c r="K199" s="546"/>
      <c r="L199" s="546"/>
      <c r="M199" s="546"/>
      <c r="N199" s="546"/>
      <c r="O199" s="546"/>
      <c r="P199" s="546"/>
      <c r="Q199" s="546"/>
      <c r="R199" s="546"/>
      <c r="S199" s="546"/>
      <c r="T199" s="546"/>
      <c r="U199" s="546"/>
      <c r="V199" s="546"/>
      <c r="W199" s="546"/>
      <c r="X199" s="546"/>
      <c r="Y199" s="546"/>
      <c r="Z199" s="546"/>
      <c r="AA199" s="546"/>
      <c r="AB199" s="546"/>
      <c r="AC199" s="546"/>
    </row>
    <row r="200" spans="1:29" x14ac:dyDescent="0.25">
      <c r="A200" s="546"/>
      <c r="B200" s="546"/>
      <c r="C200" s="546"/>
      <c r="D200" s="546"/>
      <c r="E200" s="546"/>
      <c r="F200" s="546"/>
      <c r="G200" s="546"/>
      <c r="H200" s="546"/>
      <c r="I200" s="557"/>
      <c r="J200" s="546"/>
      <c r="K200" s="546"/>
      <c r="L200" s="546"/>
      <c r="M200" s="546"/>
      <c r="N200" s="546"/>
      <c r="O200" s="546"/>
      <c r="P200" s="546"/>
      <c r="Q200" s="546"/>
      <c r="R200" s="546"/>
      <c r="S200" s="546"/>
      <c r="T200" s="546"/>
      <c r="U200" s="546"/>
      <c r="V200" s="546"/>
      <c r="W200" s="546"/>
      <c r="X200" s="546"/>
      <c r="Y200" s="546"/>
      <c r="Z200" s="546"/>
      <c r="AA200" s="546"/>
      <c r="AB200" s="546"/>
      <c r="AC200" s="546"/>
    </row>
    <row r="201" spans="1:29" x14ac:dyDescent="0.25">
      <c r="A201" s="546"/>
      <c r="B201" s="546"/>
      <c r="C201" s="546"/>
      <c r="D201" s="546"/>
      <c r="E201" s="546"/>
      <c r="F201" s="546"/>
      <c r="G201" s="546"/>
      <c r="H201" s="546"/>
      <c r="I201" s="557"/>
      <c r="J201" s="546"/>
      <c r="K201" s="546"/>
      <c r="L201" s="546"/>
      <c r="M201" s="546"/>
      <c r="N201" s="546"/>
      <c r="O201" s="546"/>
      <c r="P201" s="546"/>
      <c r="Q201" s="546"/>
      <c r="R201" s="546"/>
      <c r="S201" s="546"/>
      <c r="T201" s="546"/>
      <c r="U201" s="546"/>
      <c r="V201" s="546"/>
      <c r="W201" s="546"/>
      <c r="X201" s="546"/>
      <c r="Y201" s="546"/>
      <c r="Z201" s="546"/>
      <c r="AA201" s="546"/>
      <c r="AB201" s="546"/>
      <c r="AC201" s="546"/>
    </row>
    <row r="202" spans="1:29" x14ac:dyDescent="0.25">
      <c r="A202" s="546"/>
      <c r="B202" s="546"/>
      <c r="C202" s="546"/>
      <c r="D202" s="546"/>
      <c r="E202" s="546"/>
      <c r="F202" s="546"/>
      <c r="G202" s="546"/>
      <c r="H202" s="546"/>
      <c r="I202" s="557"/>
      <c r="J202" s="546"/>
      <c r="K202" s="546"/>
      <c r="L202" s="546"/>
      <c r="M202" s="546"/>
      <c r="N202" s="546"/>
      <c r="O202" s="546"/>
      <c r="P202" s="546"/>
      <c r="Q202" s="546"/>
      <c r="R202" s="546"/>
      <c r="S202" s="546"/>
      <c r="T202" s="546"/>
      <c r="U202" s="546"/>
      <c r="V202" s="546"/>
      <c r="W202" s="546"/>
      <c r="X202" s="546"/>
      <c r="Y202" s="546"/>
      <c r="Z202" s="546"/>
      <c r="AA202" s="546"/>
      <c r="AB202" s="546"/>
      <c r="AC202" s="546"/>
    </row>
    <row r="203" spans="1:29" x14ac:dyDescent="0.25">
      <c r="A203" s="546"/>
      <c r="B203" s="546"/>
      <c r="C203" s="546"/>
      <c r="D203" s="546"/>
      <c r="E203" s="546"/>
      <c r="F203" s="546"/>
      <c r="G203" s="546"/>
      <c r="H203" s="546"/>
      <c r="I203" s="557"/>
      <c r="J203" s="546"/>
      <c r="K203" s="546"/>
      <c r="L203" s="546"/>
      <c r="M203" s="546"/>
      <c r="N203" s="546"/>
      <c r="O203" s="546"/>
      <c r="P203" s="546"/>
      <c r="Q203" s="546"/>
      <c r="R203" s="546"/>
      <c r="S203" s="546"/>
      <c r="T203" s="546"/>
      <c r="U203" s="546"/>
      <c r="V203" s="546"/>
      <c r="W203" s="546"/>
      <c r="X203" s="546"/>
      <c r="Y203" s="546"/>
      <c r="Z203" s="546"/>
      <c r="AA203" s="546"/>
      <c r="AB203" s="546"/>
      <c r="AC203" s="546"/>
    </row>
    <row r="204" spans="1:29" x14ac:dyDescent="0.25">
      <c r="A204" s="546"/>
      <c r="B204" s="546"/>
      <c r="C204" s="546"/>
      <c r="D204" s="546"/>
      <c r="E204" s="546"/>
      <c r="F204" s="546"/>
      <c r="G204" s="546"/>
      <c r="H204" s="546"/>
      <c r="I204" s="557"/>
      <c r="J204" s="546"/>
      <c r="K204" s="546"/>
      <c r="L204" s="546"/>
      <c r="M204" s="546"/>
      <c r="N204" s="546"/>
      <c r="O204" s="546"/>
      <c r="P204" s="546"/>
      <c r="Q204" s="546"/>
      <c r="R204" s="546"/>
      <c r="S204" s="546"/>
      <c r="T204" s="546"/>
      <c r="U204" s="546"/>
      <c r="V204" s="546"/>
      <c r="W204" s="546"/>
      <c r="X204" s="546"/>
      <c r="Y204" s="546"/>
      <c r="Z204" s="546"/>
      <c r="AA204" s="546"/>
      <c r="AB204" s="546"/>
      <c r="AC204" s="546"/>
    </row>
    <row r="205" spans="1:29" x14ac:dyDescent="0.25">
      <c r="A205" s="546"/>
      <c r="B205" s="546"/>
      <c r="C205" s="546"/>
      <c r="D205" s="546"/>
      <c r="E205" s="546"/>
      <c r="F205" s="546"/>
      <c r="G205" s="546"/>
      <c r="H205" s="546"/>
      <c r="I205" s="557"/>
      <c r="J205" s="546"/>
      <c r="K205" s="546"/>
      <c r="L205" s="546"/>
      <c r="M205" s="546"/>
      <c r="N205" s="546"/>
      <c r="O205" s="546"/>
      <c r="P205" s="546"/>
      <c r="Q205" s="546"/>
      <c r="R205" s="546"/>
      <c r="S205" s="546"/>
      <c r="T205" s="546"/>
      <c r="U205" s="546"/>
      <c r="V205" s="546"/>
      <c r="W205" s="546"/>
      <c r="X205" s="546"/>
      <c r="Y205" s="546"/>
      <c r="Z205" s="546"/>
      <c r="AA205" s="546"/>
      <c r="AB205" s="546"/>
      <c r="AC205" s="546"/>
    </row>
    <row r="206" spans="1:29" x14ac:dyDescent="0.25">
      <c r="A206" s="546"/>
      <c r="B206" s="546"/>
      <c r="C206" s="546"/>
      <c r="D206" s="546"/>
      <c r="E206" s="546"/>
      <c r="F206" s="546"/>
      <c r="G206" s="546"/>
      <c r="H206" s="546"/>
      <c r="I206" s="557"/>
      <c r="J206" s="546"/>
      <c r="K206" s="546"/>
      <c r="L206" s="546"/>
      <c r="M206" s="546"/>
      <c r="N206" s="546"/>
      <c r="O206" s="546"/>
      <c r="P206" s="546"/>
      <c r="Q206" s="546"/>
      <c r="R206" s="546"/>
      <c r="S206" s="546"/>
      <c r="T206" s="546"/>
      <c r="U206" s="546"/>
      <c r="V206" s="546"/>
      <c r="W206" s="546"/>
      <c r="X206" s="546"/>
      <c r="Y206" s="546"/>
      <c r="Z206" s="546"/>
      <c r="AA206" s="546"/>
      <c r="AB206" s="546"/>
      <c r="AC206" s="546"/>
    </row>
    <row r="207" spans="1:29" x14ac:dyDescent="0.25">
      <c r="A207" s="546"/>
      <c r="B207" s="546"/>
      <c r="C207" s="546"/>
      <c r="D207" s="546"/>
      <c r="E207" s="546"/>
      <c r="F207" s="546"/>
      <c r="G207" s="546"/>
      <c r="H207" s="546"/>
      <c r="I207" s="557"/>
      <c r="J207" s="546"/>
      <c r="K207" s="546"/>
      <c r="L207" s="546"/>
      <c r="M207" s="546"/>
      <c r="N207" s="546"/>
      <c r="O207" s="546"/>
      <c r="P207" s="546"/>
      <c r="Q207" s="546"/>
      <c r="R207" s="546"/>
      <c r="S207" s="546"/>
      <c r="T207" s="546"/>
      <c r="U207" s="546"/>
      <c r="V207" s="546"/>
      <c r="W207" s="546"/>
      <c r="X207" s="546"/>
      <c r="Y207" s="546"/>
      <c r="Z207" s="546"/>
      <c r="AA207" s="546"/>
      <c r="AB207" s="546"/>
      <c r="AC207" s="546"/>
    </row>
    <row r="208" spans="1:29" x14ac:dyDescent="0.25">
      <c r="A208" s="546"/>
      <c r="B208" s="546"/>
      <c r="C208" s="546"/>
      <c r="D208" s="546"/>
      <c r="E208" s="546"/>
      <c r="F208" s="546"/>
      <c r="G208" s="546"/>
      <c r="H208" s="546"/>
      <c r="I208" s="557"/>
      <c r="J208" s="546"/>
      <c r="K208" s="546"/>
      <c r="L208" s="546"/>
      <c r="M208" s="546"/>
      <c r="N208" s="546"/>
      <c r="O208" s="546"/>
      <c r="P208" s="546"/>
      <c r="Q208" s="546"/>
      <c r="R208" s="546"/>
      <c r="S208" s="546"/>
      <c r="T208" s="546"/>
      <c r="U208" s="546"/>
      <c r="V208" s="546"/>
      <c r="W208" s="546"/>
      <c r="X208" s="546"/>
      <c r="Y208" s="546"/>
      <c r="Z208" s="546"/>
      <c r="AA208" s="546"/>
      <c r="AB208" s="546"/>
      <c r="AC208" s="546"/>
    </row>
    <row r="209" spans="1:29" x14ac:dyDescent="0.25">
      <c r="A209" s="546"/>
      <c r="B209" s="546"/>
      <c r="C209" s="546"/>
      <c r="D209" s="546"/>
      <c r="E209" s="546"/>
      <c r="F209" s="546"/>
      <c r="G209" s="546"/>
      <c r="H209" s="546"/>
      <c r="I209" s="557"/>
      <c r="J209" s="546"/>
      <c r="K209" s="546"/>
      <c r="L209" s="546"/>
      <c r="M209" s="546"/>
      <c r="N209" s="546"/>
      <c r="O209" s="546"/>
      <c r="P209" s="546"/>
      <c r="Q209" s="546"/>
      <c r="R209" s="546"/>
      <c r="S209" s="546"/>
      <c r="T209" s="546"/>
      <c r="U209" s="546"/>
      <c r="V209" s="546"/>
      <c r="W209" s="546"/>
      <c r="X209" s="546"/>
      <c r="Y209" s="546"/>
      <c r="Z209" s="546"/>
      <c r="AA209" s="546"/>
      <c r="AB209" s="546"/>
      <c r="AC209" s="546"/>
    </row>
    <row r="210" spans="1:29" x14ac:dyDescent="0.25">
      <c r="A210" s="546"/>
      <c r="B210" s="546"/>
      <c r="C210" s="546"/>
      <c r="D210" s="546"/>
      <c r="E210" s="546"/>
      <c r="F210" s="546"/>
      <c r="G210" s="546"/>
      <c r="H210" s="546"/>
      <c r="I210" s="557"/>
      <c r="J210" s="546"/>
      <c r="K210" s="546"/>
      <c r="L210" s="546"/>
      <c r="M210" s="546"/>
      <c r="N210" s="546"/>
      <c r="O210" s="546"/>
      <c r="P210" s="546"/>
      <c r="Q210" s="546"/>
      <c r="R210" s="546"/>
      <c r="S210" s="546"/>
      <c r="T210" s="546"/>
      <c r="U210" s="546"/>
      <c r="V210" s="546"/>
      <c r="W210" s="546"/>
      <c r="X210" s="546"/>
      <c r="Y210" s="546"/>
      <c r="Z210" s="546"/>
      <c r="AA210" s="546"/>
      <c r="AB210" s="546"/>
      <c r="AC210" s="546"/>
    </row>
    <row r="211" spans="1:29" x14ac:dyDescent="0.25">
      <c r="A211" s="546"/>
      <c r="B211" s="546"/>
      <c r="C211" s="546"/>
      <c r="D211" s="546"/>
      <c r="E211" s="546"/>
      <c r="F211" s="546"/>
      <c r="G211" s="546"/>
      <c r="H211" s="546"/>
      <c r="I211" s="557"/>
      <c r="J211" s="546"/>
      <c r="K211" s="546"/>
      <c r="L211" s="546"/>
      <c r="M211" s="546"/>
      <c r="N211" s="546"/>
      <c r="O211" s="546"/>
      <c r="P211" s="546"/>
      <c r="Q211" s="546"/>
      <c r="R211" s="546"/>
      <c r="S211" s="546"/>
      <c r="T211" s="546"/>
      <c r="U211" s="546"/>
      <c r="V211" s="546"/>
      <c r="W211" s="546"/>
      <c r="X211" s="546"/>
      <c r="Y211" s="546"/>
      <c r="Z211" s="546"/>
      <c r="AA211" s="546"/>
      <c r="AB211" s="546"/>
      <c r="AC211" s="546"/>
    </row>
    <row r="212" spans="1:29" x14ac:dyDescent="0.25">
      <c r="A212" s="546"/>
      <c r="B212" s="546"/>
      <c r="C212" s="546"/>
      <c r="D212" s="546"/>
      <c r="E212" s="546"/>
      <c r="F212" s="546"/>
      <c r="G212" s="546"/>
      <c r="H212" s="546"/>
      <c r="I212" s="557"/>
      <c r="J212" s="546"/>
      <c r="K212" s="546"/>
      <c r="L212" s="546"/>
      <c r="M212" s="546"/>
      <c r="N212" s="546"/>
      <c r="O212" s="546"/>
      <c r="P212" s="546"/>
      <c r="Q212" s="546"/>
      <c r="R212" s="546"/>
      <c r="S212" s="546"/>
      <c r="T212" s="546"/>
      <c r="U212" s="546"/>
      <c r="V212" s="546"/>
      <c r="W212" s="546"/>
      <c r="X212" s="546"/>
      <c r="Y212" s="546"/>
      <c r="Z212" s="546"/>
      <c r="AA212" s="546"/>
      <c r="AB212" s="546"/>
      <c r="AC212" s="546"/>
    </row>
    <row r="213" spans="1:29" x14ac:dyDescent="0.25">
      <c r="A213" s="546"/>
      <c r="B213" s="546"/>
      <c r="C213" s="546"/>
      <c r="D213" s="546"/>
      <c r="E213" s="546"/>
      <c r="F213" s="546"/>
      <c r="G213" s="546"/>
      <c r="H213" s="546"/>
      <c r="I213" s="557"/>
      <c r="J213" s="546"/>
      <c r="K213" s="546"/>
      <c r="L213" s="546"/>
      <c r="M213" s="546"/>
      <c r="N213" s="546"/>
      <c r="O213" s="546"/>
      <c r="P213" s="546"/>
      <c r="Q213" s="546"/>
      <c r="R213" s="546"/>
      <c r="S213" s="546"/>
      <c r="T213" s="546"/>
      <c r="U213" s="546"/>
      <c r="V213" s="546"/>
      <c r="W213" s="546"/>
      <c r="X213" s="546"/>
      <c r="Y213" s="546"/>
      <c r="Z213" s="546"/>
      <c r="AA213" s="546"/>
      <c r="AB213" s="546"/>
      <c r="AC213" s="546"/>
    </row>
    <row r="214" spans="1:29" x14ac:dyDescent="0.25">
      <c r="A214" s="546"/>
      <c r="B214" s="546"/>
      <c r="C214" s="546"/>
      <c r="D214" s="546"/>
      <c r="E214" s="546"/>
      <c r="F214" s="546"/>
      <c r="G214" s="546"/>
      <c r="H214" s="546"/>
      <c r="I214" s="557"/>
      <c r="J214" s="546"/>
      <c r="K214" s="546"/>
      <c r="L214" s="546"/>
      <c r="M214" s="546"/>
      <c r="N214" s="546"/>
      <c r="O214" s="546"/>
      <c r="P214" s="546"/>
      <c r="Q214" s="546"/>
      <c r="R214" s="546"/>
      <c r="S214" s="546"/>
      <c r="T214" s="546"/>
      <c r="U214" s="546"/>
      <c r="V214" s="546"/>
      <c r="W214" s="546"/>
      <c r="X214" s="546"/>
      <c r="Y214" s="546"/>
      <c r="Z214" s="546"/>
      <c r="AA214" s="546"/>
      <c r="AB214" s="546"/>
      <c r="AC214" s="546"/>
    </row>
    <row r="215" spans="1:29" x14ac:dyDescent="0.25">
      <c r="A215" s="546"/>
      <c r="B215" s="546"/>
      <c r="C215" s="546"/>
      <c r="D215" s="546"/>
      <c r="E215" s="546"/>
      <c r="F215" s="546"/>
      <c r="G215" s="546"/>
      <c r="H215" s="546"/>
      <c r="I215" s="557"/>
      <c r="J215" s="546"/>
      <c r="K215" s="546"/>
      <c r="L215" s="546"/>
      <c r="M215" s="546"/>
      <c r="N215" s="546"/>
      <c r="O215" s="546"/>
      <c r="P215" s="546"/>
      <c r="Q215" s="546"/>
      <c r="R215" s="546"/>
      <c r="S215" s="546"/>
      <c r="T215" s="546"/>
      <c r="U215" s="546"/>
      <c r="V215" s="546"/>
      <c r="W215" s="546"/>
      <c r="X215" s="546"/>
      <c r="Y215" s="546"/>
      <c r="Z215" s="546"/>
      <c r="AA215" s="546"/>
      <c r="AB215" s="546"/>
      <c r="AC215" s="546"/>
    </row>
    <row r="216" spans="1:29" x14ac:dyDescent="0.25">
      <c r="A216" s="546"/>
      <c r="B216" s="546"/>
      <c r="C216" s="546"/>
      <c r="D216" s="546"/>
      <c r="E216" s="546"/>
      <c r="F216" s="546"/>
      <c r="G216" s="546"/>
      <c r="H216" s="546"/>
      <c r="I216" s="557"/>
      <c r="J216" s="546"/>
      <c r="K216" s="546"/>
      <c r="L216" s="546"/>
      <c r="M216" s="546"/>
      <c r="N216" s="546"/>
      <c r="O216" s="546"/>
      <c r="P216" s="546"/>
      <c r="Q216" s="546"/>
      <c r="R216" s="546"/>
      <c r="S216" s="546"/>
      <c r="T216" s="546"/>
      <c r="U216" s="546"/>
      <c r="V216" s="546"/>
      <c r="W216" s="546"/>
      <c r="X216" s="546"/>
      <c r="Y216" s="546"/>
      <c r="Z216" s="546"/>
      <c r="AA216" s="546"/>
      <c r="AB216" s="546"/>
      <c r="AC216" s="546"/>
    </row>
    <row r="217" spans="1:29" x14ac:dyDescent="0.25">
      <c r="A217" s="546"/>
      <c r="B217" s="546"/>
      <c r="C217" s="546"/>
      <c r="D217" s="546"/>
      <c r="E217" s="546"/>
      <c r="F217" s="546"/>
      <c r="G217" s="546"/>
      <c r="H217" s="546"/>
      <c r="I217" s="557"/>
      <c r="J217" s="546"/>
      <c r="K217" s="546"/>
      <c r="L217" s="546"/>
      <c r="M217" s="546"/>
      <c r="N217" s="546"/>
      <c r="O217" s="546"/>
      <c r="P217" s="546"/>
      <c r="Q217" s="546"/>
      <c r="R217" s="546"/>
      <c r="S217" s="546"/>
      <c r="T217" s="546"/>
      <c r="U217" s="546"/>
      <c r="V217" s="546"/>
      <c r="W217" s="546"/>
      <c r="X217" s="546"/>
      <c r="Y217" s="546"/>
      <c r="Z217" s="546"/>
      <c r="AA217" s="546"/>
      <c r="AB217" s="546"/>
      <c r="AC217" s="546"/>
    </row>
    <row r="218" spans="1:29" x14ac:dyDescent="0.25">
      <c r="A218" s="546"/>
      <c r="B218" s="546"/>
      <c r="C218" s="546"/>
      <c r="D218" s="546"/>
      <c r="E218" s="546"/>
      <c r="F218" s="546"/>
      <c r="G218" s="546"/>
      <c r="H218" s="546"/>
      <c r="I218" s="557"/>
      <c r="J218" s="546"/>
      <c r="K218" s="546"/>
      <c r="L218" s="546"/>
      <c r="M218" s="546"/>
      <c r="N218" s="546"/>
      <c r="O218" s="546"/>
      <c r="P218" s="546"/>
      <c r="Q218" s="546"/>
      <c r="R218" s="546"/>
      <c r="S218" s="546"/>
      <c r="T218" s="546"/>
      <c r="U218" s="546"/>
      <c r="V218" s="546"/>
      <c r="W218" s="546"/>
      <c r="X218" s="546"/>
      <c r="Y218" s="546"/>
      <c r="Z218" s="546"/>
      <c r="AA218" s="546"/>
      <c r="AB218" s="546"/>
      <c r="AC218" s="546"/>
    </row>
    <row r="219" spans="1:29" x14ac:dyDescent="0.25">
      <c r="A219" s="546"/>
      <c r="B219" s="546"/>
      <c r="C219" s="546"/>
      <c r="D219" s="546"/>
      <c r="E219" s="546"/>
      <c r="F219" s="546"/>
      <c r="G219" s="546"/>
      <c r="H219" s="546"/>
      <c r="I219" s="557"/>
      <c r="J219" s="546"/>
      <c r="K219" s="546"/>
      <c r="L219" s="546"/>
      <c r="M219" s="546"/>
      <c r="N219" s="546"/>
      <c r="O219" s="546"/>
      <c r="P219" s="546"/>
      <c r="Q219" s="546"/>
      <c r="R219" s="546"/>
      <c r="S219" s="546"/>
      <c r="T219" s="546"/>
      <c r="U219" s="546"/>
      <c r="V219" s="546"/>
      <c r="W219" s="546"/>
      <c r="X219" s="546"/>
      <c r="Y219" s="546"/>
      <c r="Z219" s="546"/>
      <c r="AA219" s="546"/>
      <c r="AB219" s="546"/>
      <c r="AC219" s="546"/>
    </row>
    <row r="220" spans="1:29" x14ac:dyDescent="0.25">
      <c r="A220" s="546"/>
      <c r="B220" s="546"/>
      <c r="C220" s="546"/>
      <c r="D220" s="546"/>
      <c r="E220" s="546"/>
      <c r="F220" s="546"/>
      <c r="G220" s="546"/>
      <c r="H220" s="546"/>
      <c r="I220" s="557"/>
      <c r="J220" s="546"/>
      <c r="K220" s="546"/>
      <c r="L220" s="546"/>
      <c r="M220" s="546"/>
      <c r="N220" s="546"/>
      <c r="O220" s="546"/>
      <c r="P220" s="546"/>
      <c r="Q220" s="546"/>
      <c r="R220" s="546"/>
      <c r="S220" s="546"/>
      <c r="T220" s="546"/>
      <c r="U220" s="546"/>
      <c r="V220" s="546"/>
      <c r="W220" s="546"/>
      <c r="X220" s="546"/>
      <c r="Y220" s="546"/>
      <c r="Z220" s="546"/>
      <c r="AA220" s="546"/>
      <c r="AB220" s="546"/>
      <c r="AC220" s="546"/>
    </row>
    <row r="221" spans="1:29" x14ac:dyDescent="0.25">
      <c r="A221" s="546"/>
      <c r="B221" s="546"/>
      <c r="C221" s="546"/>
      <c r="D221" s="546"/>
      <c r="E221" s="546"/>
      <c r="F221" s="546"/>
      <c r="G221" s="546"/>
      <c r="H221" s="546"/>
      <c r="I221" s="557"/>
      <c r="J221" s="546"/>
      <c r="K221" s="546"/>
      <c r="L221" s="546"/>
      <c r="M221" s="546"/>
      <c r="N221" s="546"/>
      <c r="O221" s="546"/>
      <c r="P221" s="546"/>
      <c r="Q221" s="546"/>
      <c r="R221" s="546"/>
      <c r="S221" s="546"/>
      <c r="T221" s="546"/>
      <c r="U221" s="546"/>
      <c r="V221" s="546"/>
      <c r="W221" s="546"/>
      <c r="X221" s="546"/>
      <c r="Y221" s="546"/>
      <c r="Z221" s="546"/>
      <c r="AA221" s="546"/>
      <c r="AB221" s="546"/>
      <c r="AC221" s="546"/>
    </row>
    <row r="222" spans="1:29" x14ac:dyDescent="0.25">
      <c r="A222" s="546"/>
      <c r="B222" s="546"/>
      <c r="C222" s="546"/>
      <c r="D222" s="546"/>
      <c r="E222" s="546"/>
      <c r="F222" s="546"/>
      <c r="G222" s="546"/>
      <c r="H222" s="546"/>
      <c r="I222" s="557"/>
      <c r="J222" s="546"/>
      <c r="K222" s="546"/>
      <c r="L222" s="546"/>
      <c r="M222" s="546"/>
      <c r="N222" s="546"/>
      <c r="O222" s="546"/>
      <c r="P222" s="546"/>
      <c r="Q222" s="546"/>
      <c r="R222" s="546"/>
      <c r="S222" s="546"/>
      <c r="T222" s="546"/>
      <c r="U222" s="546"/>
      <c r="V222" s="546"/>
      <c r="W222" s="546"/>
      <c r="X222" s="546"/>
      <c r="Y222" s="546"/>
      <c r="Z222" s="546"/>
      <c r="AA222" s="546"/>
      <c r="AB222" s="546"/>
      <c r="AC222" s="546"/>
    </row>
    <row r="223" spans="1:29" x14ac:dyDescent="0.25">
      <c r="A223" s="546"/>
      <c r="B223" s="546"/>
      <c r="C223" s="546"/>
      <c r="D223" s="546"/>
      <c r="E223" s="546"/>
      <c r="F223" s="546"/>
      <c r="G223" s="546"/>
      <c r="H223" s="546"/>
      <c r="I223" s="557"/>
      <c r="J223" s="546"/>
      <c r="K223" s="546"/>
      <c r="L223" s="546"/>
      <c r="M223" s="546"/>
      <c r="N223" s="546"/>
      <c r="O223" s="546"/>
      <c r="P223" s="546"/>
      <c r="Q223" s="546"/>
      <c r="R223" s="546"/>
      <c r="S223" s="546"/>
      <c r="T223" s="546"/>
      <c r="U223" s="546"/>
      <c r="V223" s="546"/>
      <c r="W223" s="546"/>
      <c r="X223" s="546"/>
      <c r="Y223" s="546"/>
      <c r="Z223" s="546"/>
      <c r="AA223" s="546"/>
      <c r="AB223" s="546"/>
      <c r="AC223" s="546"/>
    </row>
    <row r="224" spans="1:29" x14ac:dyDescent="0.25">
      <c r="A224" s="546"/>
      <c r="B224" s="546"/>
      <c r="C224" s="546"/>
      <c r="D224" s="546"/>
      <c r="E224" s="546"/>
      <c r="F224" s="546"/>
      <c r="G224" s="546"/>
      <c r="H224" s="546"/>
      <c r="I224" s="557"/>
      <c r="J224" s="546"/>
      <c r="K224" s="546"/>
      <c r="L224" s="546"/>
      <c r="M224" s="546"/>
      <c r="N224" s="546"/>
      <c r="O224" s="546"/>
      <c r="P224" s="546"/>
      <c r="Q224" s="546"/>
      <c r="R224" s="546"/>
      <c r="S224" s="546"/>
      <c r="T224" s="546"/>
      <c r="U224" s="546"/>
      <c r="V224" s="546"/>
      <c r="W224" s="546"/>
      <c r="X224" s="546"/>
      <c r="Y224" s="546"/>
      <c r="Z224" s="546"/>
      <c r="AA224" s="546"/>
      <c r="AB224" s="546"/>
      <c r="AC224" s="546"/>
    </row>
    <row r="225" spans="1:29" x14ac:dyDescent="0.25">
      <c r="A225" s="546"/>
      <c r="B225" s="546"/>
      <c r="C225" s="546"/>
      <c r="D225" s="546"/>
      <c r="E225" s="546"/>
      <c r="F225" s="546"/>
      <c r="G225" s="546"/>
      <c r="H225" s="546"/>
      <c r="I225" s="557"/>
      <c r="J225" s="546"/>
      <c r="K225" s="546"/>
      <c r="L225" s="546"/>
      <c r="M225" s="546"/>
      <c r="N225" s="546"/>
      <c r="O225" s="546"/>
      <c r="P225" s="546"/>
      <c r="Q225" s="546"/>
      <c r="R225" s="546"/>
      <c r="S225" s="546"/>
      <c r="T225" s="546"/>
      <c r="U225" s="546"/>
      <c r="V225" s="546"/>
      <c r="W225" s="546"/>
      <c r="X225" s="546"/>
      <c r="Y225" s="546"/>
      <c r="Z225" s="546"/>
      <c r="AA225" s="546"/>
      <c r="AB225" s="546"/>
      <c r="AC225" s="546"/>
    </row>
    <row r="226" spans="1:29" x14ac:dyDescent="0.25">
      <c r="A226" s="546"/>
      <c r="B226" s="546"/>
      <c r="C226" s="546"/>
      <c r="D226" s="546"/>
      <c r="E226" s="546"/>
      <c r="F226" s="546"/>
      <c r="G226" s="546"/>
      <c r="H226" s="546"/>
      <c r="I226" s="557"/>
      <c r="J226" s="546"/>
      <c r="K226" s="546"/>
      <c r="L226" s="546"/>
      <c r="M226" s="546"/>
      <c r="N226" s="546"/>
      <c r="O226" s="546"/>
      <c r="P226" s="546"/>
      <c r="Q226" s="546"/>
      <c r="R226" s="546"/>
      <c r="S226" s="546"/>
      <c r="T226" s="546"/>
      <c r="U226" s="546"/>
      <c r="V226" s="546"/>
      <c r="W226" s="546"/>
      <c r="X226" s="546"/>
      <c r="Y226" s="546"/>
      <c r="Z226" s="546"/>
      <c r="AA226" s="546"/>
      <c r="AB226" s="546"/>
      <c r="AC226" s="546"/>
    </row>
    <row r="227" spans="1:29" x14ac:dyDescent="0.25">
      <c r="A227" s="546"/>
      <c r="B227" s="546"/>
      <c r="C227" s="546"/>
      <c r="D227" s="546"/>
      <c r="E227" s="546"/>
      <c r="F227" s="546"/>
      <c r="G227" s="546"/>
      <c r="H227" s="546"/>
      <c r="I227" s="557"/>
      <c r="J227" s="546"/>
      <c r="K227" s="546"/>
      <c r="L227" s="546"/>
      <c r="M227" s="546"/>
      <c r="N227" s="546"/>
      <c r="O227" s="546"/>
      <c r="P227" s="546"/>
      <c r="Q227" s="546"/>
      <c r="R227" s="546"/>
      <c r="S227" s="546"/>
      <c r="T227" s="546"/>
      <c r="U227" s="546"/>
      <c r="V227" s="546"/>
      <c r="W227" s="546"/>
      <c r="X227" s="546"/>
      <c r="Y227" s="546"/>
      <c r="Z227" s="546"/>
      <c r="AA227" s="546"/>
      <c r="AB227" s="546"/>
      <c r="AC227" s="546"/>
    </row>
    <row r="228" spans="1:29" x14ac:dyDescent="0.25">
      <c r="A228" s="546"/>
      <c r="B228" s="546"/>
      <c r="C228" s="546"/>
      <c r="D228" s="546"/>
      <c r="E228" s="546"/>
      <c r="F228" s="546"/>
      <c r="G228" s="546"/>
      <c r="H228" s="546"/>
      <c r="I228" s="557"/>
      <c r="J228" s="546"/>
      <c r="K228" s="546"/>
      <c r="L228" s="546"/>
      <c r="M228" s="546"/>
      <c r="N228" s="546"/>
      <c r="O228" s="546"/>
      <c r="P228" s="546"/>
      <c r="Q228" s="546"/>
      <c r="R228" s="546"/>
      <c r="S228" s="546"/>
      <c r="T228" s="546"/>
      <c r="U228" s="546"/>
      <c r="V228" s="546"/>
      <c r="W228" s="546"/>
      <c r="X228" s="546"/>
      <c r="Y228" s="546"/>
      <c r="Z228" s="546"/>
      <c r="AA228" s="546"/>
      <c r="AB228" s="546"/>
      <c r="AC228" s="546"/>
    </row>
  </sheetData>
  <sheetProtection algorithmName="SHA-512" hashValue="ZP3PxQwMQ4Dr0/vVSY5EgSRmxyH3S9JKO1wZW38PSanVPATELjxcW464PqwYbRviEWnctdXirRr4pB2fsYt6ZA==" saltValue="W+dYJ+I3L0JvZYAeYpuciA==" spinCount="100000" sheet="1" objects="1" scenarios="1"/>
  <mergeCells count="8">
    <mergeCell ref="A14:A15"/>
    <mergeCell ref="M1:N1"/>
    <mergeCell ref="B4:D4"/>
    <mergeCell ref="B5:D5"/>
    <mergeCell ref="B6:D6"/>
    <mergeCell ref="E12:F12"/>
    <mergeCell ref="B8:C8"/>
    <mergeCell ref="B9:C9"/>
  </mergeCells>
  <conditionalFormatting sqref="H79 I22:I26">
    <cfRule type="expression" dxfId="30" priority="2">
      <formula>H22="OK"</formula>
    </cfRule>
    <cfRule type="expression" dxfId="29" priority="3">
      <formula>H22="EXCESS"</formula>
    </cfRule>
  </conditionalFormatting>
  <conditionalFormatting sqref="B10">
    <cfRule type="cellIs" dxfId="28" priority="1" operator="lessThan">
      <formula>MatWidth</formula>
    </cfRule>
  </conditionalFormatting>
  <pageMargins left="0.75" right="0.25" top="0.75" bottom="0.75" header="0.3" footer="0.3"/>
  <pageSetup scale="5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525" r:id="rId4" name="Button 5">
              <controlPr defaultSize="0" print="0" autoFill="0" autoPict="0" macro="[0]!Tbl_Contents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514350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3EB0A2-3B22-4AD0-86FE-7410AD6AE0FA}">
  <sheetPr codeName="Sheet25">
    <tabColor rgb="FFFF0000"/>
  </sheetPr>
  <dimension ref="A1:L45"/>
  <sheetViews>
    <sheetView topLeftCell="A13" workbookViewId="0">
      <selection activeCell="A41" sqref="A41:E45"/>
    </sheetView>
  </sheetViews>
  <sheetFormatPr defaultRowHeight="15" x14ac:dyDescent="0.25"/>
  <cols>
    <col min="7" max="7" width="0" hidden="1" customWidth="1"/>
  </cols>
  <sheetData>
    <row r="1" spans="1:12" x14ac:dyDescent="0.25">
      <c r="A1" s="263" t="s">
        <v>519</v>
      </c>
      <c r="B1" s="264"/>
      <c r="C1" s="264"/>
      <c r="D1" s="264"/>
      <c r="E1" s="264"/>
      <c r="F1" s="264"/>
      <c r="G1" s="264"/>
      <c r="H1" s="264"/>
      <c r="I1" s="1011" t="s">
        <v>520</v>
      </c>
      <c r="J1" s="1012"/>
      <c r="K1" s="1013"/>
      <c r="L1" s="265"/>
    </row>
    <row r="2" spans="1:12" x14ac:dyDescent="0.25">
      <c r="A2" s="266" t="s">
        <v>521</v>
      </c>
      <c r="B2" s="265"/>
      <c r="C2" s="267" t="s">
        <v>522</v>
      </c>
      <c r="D2" s="265"/>
      <c r="E2" s="265"/>
      <c r="F2" s="265"/>
      <c r="G2" s="265"/>
      <c r="H2" s="265" t="s">
        <v>523</v>
      </c>
      <c r="I2" s="1014"/>
      <c r="J2" s="1015"/>
      <c r="K2" s="1016"/>
      <c r="L2" s="265"/>
    </row>
    <row r="3" spans="1:12" ht="15.75" thickBot="1" x14ac:dyDescent="0.3">
      <c r="A3" s="268"/>
      <c r="B3" s="269"/>
      <c r="C3" s="269"/>
      <c r="D3" s="269"/>
      <c r="E3" s="269"/>
      <c r="F3" s="269"/>
      <c r="G3" s="269"/>
      <c r="H3" s="269"/>
      <c r="I3" s="1017"/>
      <c r="J3" s="1018"/>
      <c r="K3" s="1019"/>
      <c r="L3" s="265"/>
    </row>
    <row r="4" spans="1:12" x14ac:dyDescent="0.25">
      <c r="A4" s="265"/>
      <c r="B4" s="265"/>
      <c r="C4" s="265"/>
      <c r="D4" s="265"/>
      <c r="E4" s="265"/>
      <c r="F4" s="265"/>
      <c r="G4" s="265"/>
      <c r="H4" s="270"/>
      <c r="I4" s="265"/>
      <c r="J4" s="265"/>
      <c r="K4" s="265"/>
      <c r="L4" s="265"/>
    </row>
    <row r="5" spans="1:12" x14ac:dyDescent="0.25">
      <c r="A5" s="271"/>
      <c r="B5" s="272" t="s">
        <v>524</v>
      </c>
      <c r="C5" s="273"/>
      <c r="D5" s="273"/>
      <c r="E5" s="273"/>
      <c r="F5" s="273"/>
      <c r="G5" s="273"/>
      <c r="H5" s="273"/>
      <c r="I5" s="274"/>
      <c r="J5" s="270"/>
      <c r="K5" s="265"/>
      <c r="L5" s="265"/>
    </row>
    <row r="6" spans="1:12" ht="15.75" thickBot="1" x14ac:dyDescent="0.3">
      <c r="A6" s="275"/>
      <c r="B6" s="265"/>
      <c r="C6" s="265"/>
      <c r="D6" s="265"/>
      <c r="E6" s="265"/>
      <c r="F6" s="265"/>
      <c r="G6" s="265"/>
      <c r="H6" s="265"/>
      <c r="I6" s="276"/>
      <c r="J6" s="265"/>
      <c r="K6" s="265"/>
      <c r="L6" s="265"/>
    </row>
    <row r="7" spans="1:12" x14ac:dyDescent="0.25">
      <c r="A7" s="275"/>
      <c r="B7" s="1020" t="s">
        <v>525</v>
      </c>
      <c r="C7" s="1023" t="s">
        <v>526</v>
      </c>
      <c r="D7" s="1023" t="s">
        <v>527</v>
      </c>
      <c r="E7" s="1020" t="s">
        <v>528</v>
      </c>
      <c r="F7" s="1023" t="s">
        <v>529</v>
      </c>
      <c r="G7" s="277"/>
      <c r="H7" s="1020" t="s">
        <v>530</v>
      </c>
      <c r="I7" s="276"/>
      <c r="J7" s="265"/>
      <c r="K7" s="265"/>
      <c r="L7" s="265"/>
    </row>
    <row r="8" spans="1:12" x14ac:dyDescent="0.25">
      <c r="A8" s="275"/>
      <c r="B8" s="1021"/>
      <c r="C8" s="1024"/>
      <c r="D8" s="1026"/>
      <c r="E8" s="1021"/>
      <c r="F8" s="1026"/>
      <c r="G8" s="278"/>
      <c r="H8" s="1021"/>
      <c r="I8" s="276"/>
      <c r="J8" s="265"/>
      <c r="K8" s="265"/>
      <c r="L8" s="265"/>
    </row>
    <row r="9" spans="1:12" ht="15.75" thickBot="1" x14ac:dyDescent="0.3">
      <c r="A9" s="275"/>
      <c r="B9" s="1022"/>
      <c r="C9" s="1025"/>
      <c r="D9" s="1027"/>
      <c r="E9" s="1022"/>
      <c r="F9" s="1027"/>
      <c r="G9" s="279" t="s">
        <v>531</v>
      </c>
      <c r="H9" s="1022"/>
      <c r="I9" s="276"/>
      <c r="J9" s="265"/>
      <c r="K9" s="265"/>
      <c r="L9" s="265"/>
    </row>
    <row r="10" spans="1:12" ht="15.75" thickBot="1" x14ac:dyDescent="0.3">
      <c r="A10" s="275"/>
      <c r="B10" s="280"/>
      <c r="C10" s="281">
        <f ca="1">MATCH</f>
        <v>1.44514422413708</v>
      </c>
      <c r="D10" s="282">
        <f ca="1">MINT*0.112943</f>
        <v>3.0453426464479998E-2</v>
      </c>
      <c r="E10" s="283">
        <f ca="1">(D10+(C10*D10))</f>
        <v>7.4463019824806562E-2</v>
      </c>
      <c r="F10" s="284">
        <f ca="1">RPM</f>
        <v>1499.9999999999998</v>
      </c>
      <c r="G10" s="285" t="e">
        <f ca="1">((C10*D10)+D10)*(F10*2*PI()/60/#REF!)*F10/63025*746*#REF!</f>
        <v>#REF!</v>
      </c>
      <c r="H10" s="285">
        <f ca="1">(Tint*(RPM^2))/182</f>
        <v>920.55931102096008</v>
      </c>
      <c r="I10" s="276"/>
      <c r="J10" s="265"/>
      <c r="K10" s="265"/>
      <c r="L10" s="265"/>
    </row>
    <row r="11" spans="1:12" x14ac:dyDescent="0.25">
      <c r="A11" s="286"/>
      <c r="B11" s="287"/>
      <c r="C11" s="287"/>
      <c r="D11" s="288"/>
      <c r="E11" s="289"/>
      <c r="F11" s="287"/>
      <c r="G11" s="290"/>
      <c r="H11" s="290"/>
      <c r="I11" s="291"/>
      <c r="J11" s="265"/>
      <c r="K11" s="265"/>
      <c r="L11" s="265"/>
    </row>
    <row r="12" spans="1:12" x14ac:dyDescent="0.25">
      <c r="A12" s="292"/>
      <c r="B12" s="272" t="s">
        <v>532</v>
      </c>
      <c r="C12" s="273"/>
      <c r="D12" s="273"/>
      <c r="E12" s="273"/>
      <c r="F12" s="273"/>
      <c r="G12" s="273"/>
      <c r="H12" s="274"/>
      <c r="I12" s="265"/>
      <c r="J12" s="265"/>
      <c r="K12" s="265"/>
      <c r="L12" s="265"/>
    </row>
    <row r="13" spans="1:12" ht="15.75" thickBot="1" x14ac:dyDescent="0.3">
      <c r="A13" s="275"/>
      <c r="B13" s="265"/>
      <c r="C13" s="265"/>
      <c r="D13" s="265"/>
      <c r="E13" s="265"/>
      <c r="F13" s="265"/>
      <c r="G13" s="265"/>
      <c r="H13" s="276"/>
      <c r="I13" s="265"/>
      <c r="J13" s="265"/>
      <c r="K13" s="265"/>
      <c r="L13" s="265"/>
    </row>
    <row r="14" spans="1:12" ht="15.75" thickBot="1" x14ac:dyDescent="0.3">
      <c r="A14" s="293"/>
      <c r="B14" s="1033" t="s">
        <v>533</v>
      </c>
      <c r="C14" s="1033" t="s">
        <v>534</v>
      </c>
      <c r="D14" s="1020" t="s">
        <v>535</v>
      </c>
      <c r="E14" s="265"/>
      <c r="F14" s="265"/>
      <c r="G14" s="265"/>
      <c r="H14" s="276"/>
      <c r="I14" s="294" t="s">
        <v>536</v>
      </c>
      <c r="J14" s="295" t="s">
        <v>537</v>
      </c>
      <c r="K14" s="295"/>
      <c r="L14" s="295"/>
    </row>
    <row r="15" spans="1:12" ht="15.75" thickBot="1" x14ac:dyDescent="0.3">
      <c r="A15" s="296"/>
      <c r="B15" s="1033"/>
      <c r="C15" s="1033"/>
      <c r="D15" s="1021"/>
      <c r="E15" s="265"/>
      <c r="F15" s="265"/>
      <c r="G15" s="265"/>
      <c r="H15" s="276"/>
      <c r="I15" s="265"/>
      <c r="J15" s="295" t="s">
        <v>538</v>
      </c>
      <c r="K15" s="295"/>
      <c r="L15" s="295"/>
    </row>
    <row r="16" spans="1:12" ht="15.75" thickBot="1" x14ac:dyDescent="0.3">
      <c r="A16" s="297"/>
      <c r="B16" s="1033"/>
      <c r="C16" s="1033"/>
      <c r="D16" s="1022"/>
      <c r="E16" s="265"/>
      <c r="F16" s="298" t="s">
        <v>539</v>
      </c>
      <c r="G16" s="299"/>
      <c r="H16" s="300"/>
      <c r="I16" s="265"/>
      <c r="J16" s="295" t="s">
        <v>540</v>
      </c>
      <c r="K16" s="295"/>
      <c r="L16" s="295"/>
    </row>
    <row r="17" spans="1:12" ht="15.75" thickBot="1" x14ac:dyDescent="0.3">
      <c r="A17" s="296"/>
      <c r="B17" s="301">
        <f ca="1">ACCTM</f>
        <v>0.18849744418982947</v>
      </c>
      <c r="C17" s="302">
        <f ca="1">VLOOKUP(MODEL,LookupSigma5Feed,18,FALSE)</f>
        <v>260</v>
      </c>
      <c r="D17" s="303">
        <f ca="1" xml:space="preserve"> DecTm*LostWatts</f>
        <v>49.009335489355664</v>
      </c>
      <c r="E17" s="265"/>
      <c r="F17" s="265"/>
      <c r="G17" s="265"/>
      <c r="H17" s="276"/>
      <c r="I17" s="265"/>
      <c r="J17" s="295" t="s">
        <v>541</v>
      </c>
      <c r="K17" s="295"/>
      <c r="L17" s="295"/>
    </row>
    <row r="18" spans="1:12" x14ac:dyDescent="0.25">
      <c r="A18" s="286"/>
      <c r="B18" s="304"/>
      <c r="C18" s="305"/>
      <c r="D18" s="305"/>
      <c r="E18" s="305"/>
      <c r="F18" s="305"/>
      <c r="G18" s="305"/>
      <c r="H18" s="291"/>
      <c r="I18" s="265"/>
      <c r="J18" s="265"/>
      <c r="K18" s="265"/>
      <c r="L18" s="265"/>
    </row>
    <row r="19" spans="1:12" x14ac:dyDescent="0.25">
      <c r="A19" s="292"/>
      <c r="B19" s="272" t="s">
        <v>542</v>
      </c>
      <c r="C19" s="273"/>
      <c r="D19" s="306"/>
      <c r="E19" s="273"/>
      <c r="F19" s="274"/>
      <c r="G19" s="265"/>
      <c r="H19" s="265"/>
      <c r="I19" s="265"/>
      <c r="J19" s="265"/>
      <c r="K19" s="265"/>
      <c r="L19" s="265"/>
    </row>
    <row r="20" spans="1:12" ht="15.75" thickBot="1" x14ac:dyDescent="0.3">
      <c r="A20" s="275"/>
      <c r="B20" s="307"/>
      <c r="C20" s="265"/>
      <c r="D20" s="308"/>
      <c r="E20" s="265"/>
      <c r="F20" s="276"/>
      <c r="G20" s="265"/>
      <c r="H20" s="265"/>
      <c r="I20" s="265"/>
      <c r="J20" s="265"/>
      <c r="K20" s="265"/>
      <c r="L20" s="265"/>
    </row>
    <row r="21" spans="1:12" x14ac:dyDescent="0.25">
      <c r="A21" s="275"/>
      <c r="B21" s="1023" t="s">
        <v>543</v>
      </c>
      <c r="C21" s="265"/>
      <c r="D21" s="308"/>
      <c r="E21" s="265"/>
      <c r="F21" s="276"/>
      <c r="G21" s="265"/>
      <c r="H21" s="265"/>
      <c r="I21" s="265"/>
      <c r="J21" s="265"/>
      <c r="K21" s="265"/>
      <c r="L21" s="265"/>
    </row>
    <row r="22" spans="1:12" x14ac:dyDescent="0.25">
      <c r="A22" s="275"/>
      <c r="B22" s="1034"/>
      <c r="C22" s="265"/>
      <c r="D22" s="309" t="s">
        <v>544</v>
      </c>
      <c r="E22" s="295" t="s">
        <v>545</v>
      </c>
      <c r="F22" s="310"/>
      <c r="G22" s="265"/>
      <c r="H22" s="265"/>
      <c r="I22" s="265"/>
      <c r="J22" s="265"/>
      <c r="K22" s="265"/>
      <c r="L22" s="265"/>
    </row>
    <row r="23" spans="1:12" x14ac:dyDescent="0.25">
      <c r="A23" s="275"/>
      <c r="B23" s="1034"/>
      <c r="C23" s="265"/>
      <c r="D23" s="308"/>
      <c r="E23" s="295" t="s">
        <v>546</v>
      </c>
      <c r="F23" s="310"/>
      <c r="G23" s="265"/>
      <c r="H23" s="265"/>
      <c r="I23" s="265"/>
      <c r="J23" s="265"/>
      <c r="K23" s="265"/>
      <c r="L23" s="265"/>
    </row>
    <row r="24" spans="1:12" ht="15.75" thickBot="1" x14ac:dyDescent="0.3">
      <c r="A24" s="275"/>
      <c r="B24" s="1035"/>
      <c r="C24" s="265"/>
      <c r="D24" s="308"/>
      <c r="E24" s="265"/>
      <c r="F24" s="276"/>
      <c r="G24" s="265"/>
      <c r="H24" s="265"/>
      <c r="I24" s="265"/>
      <c r="J24" s="265"/>
      <c r="K24" s="265"/>
      <c r="L24" s="265"/>
    </row>
    <row r="25" spans="1:12" ht="15.75" thickBot="1" x14ac:dyDescent="0.3">
      <c r="A25" s="293"/>
      <c r="B25" s="311">
        <f ca="1">VLOOKUP(MODEL,LookupSigma5Feed,17)</f>
        <v>235</v>
      </c>
      <c r="C25" s="265"/>
      <c r="E25" s="265"/>
      <c r="F25" s="312"/>
      <c r="G25" s="265"/>
      <c r="H25" s="265"/>
      <c r="I25" s="265"/>
      <c r="J25" s="265"/>
      <c r="K25" s="265"/>
      <c r="L25" s="265"/>
    </row>
    <row r="26" spans="1:12" x14ac:dyDescent="0.25">
      <c r="A26" s="286"/>
      <c r="B26" s="313"/>
      <c r="C26" s="305"/>
      <c r="D26" s="314"/>
      <c r="E26" s="305"/>
      <c r="F26" s="315"/>
      <c r="G26" s="265"/>
      <c r="H26" s="265"/>
      <c r="I26" s="265"/>
      <c r="J26" s="265"/>
      <c r="K26" s="265"/>
      <c r="L26" s="265"/>
    </row>
    <row r="27" spans="1:12" x14ac:dyDescent="0.25">
      <c r="A27" s="271"/>
      <c r="B27" s="272" t="s">
        <v>547</v>
      </c>
      <c r="C27" s="316" t="s">
        <v>548</v>
      </c>
      <c r="D27" s="1036" t="s">
        <v>549</v>
      </c>
      <c r="E27" s="1036"/>
      <c r="F27" s="317" t="s">
        <v>550</v>
      </c>
      <c r="G27" s="273"/>
      <c r="H27" s="274" t="s">
        <v>551</v>
      </c>
      <c r="I27" s="265"/>
      <c r="J27" s="265"/>
      <c r="K27" s="265"/>
      <c r="L27" s="265"/>
    </row>
    <row r="28" spans="1:12" x14ac:dyDescent="0.25">
      <c r="A28" s="296"/>
      <c r="B28" s="265"/>
      <c r="C28" s="265"/>
      <c r="D28" s="1030"/>
      <c r="E28" s="1030"/>
      <c r="F28" s="265"/>
      <c r="G28" s="265"/>
      <c r="H28" s="276"/>
      <c r="I28" s="265"/>
      <c r="J28" s="265"/>
      <c r="K28" s="265"/>
      <c r="L28" s="265"/>
    </row>
    <row r="29" spans="1:12" x14ac:dyDescent="0.25">
      <c r="A29" s="275"/>
      <c r="B29" s="265"/>
      <c r="C29" s="318" t="s">
        <v>552</v>
      </c>
      <c r="D29" s="1028">
        <f ca="1">Es</f>
        <v>920.55931102096008</v>
      </c>
      <c r="E29" s="1028"/>
      <c r="F29" s="319">
        <f ca="1">Em</f>
        <v>49.009335489355664</v>
      </c>
      <c r="G29" s="319"/>
      <c r="H29" s="320">
        <f ca="1">Ec</f>
        <v>235</v>
      </c>
      <c r="I29" s="265"/>
      <c r="J29" s="265"/>
      <c r="K29" s="265"/>
      <c r="L29" s="265"/>
    </row>
    <row r="30" spans="1:12" x14ac:dyDescent="0.25">
      <c r="A30" s="321"/>
      <c r="B30" s="305"/>
      <c r="C30" s="322" t="s">
        <v>552</v>
      </c>
      <c r="D30" s="1029">
        <f ca="1">Es-(Em+Ec)</f>
        <v>636.54997553160445</v>
      </c>
      <c r="E30" s="1029"/>
      <c r="F30" s="323" t="s">
        <v>553</v>
      </c>
      <c r="G30" s="305"/>
      <c r="H30" s="291"/>
      <c r="I30" s="265"/>
      <c r="J30" s="265"/>
      <c r="K30" s="265"/>
      <c r="L30" s="265"/>
    </row>
    <row r="31" spans="1:12" x14ac:dyDescent="0.25">
      <c r="A31" s="305"/>
      <c r="B31" s="1030"/>
      <c r="C31" s="1030"/>
      <c r="D31" s="1030"/>
      <c r="E31" s="1030"/>
      <c r="F31" s="1030"/>
      <c r="G31" s="1030"/>
      <c r="H31" s="1030"/>
      <c r="I31" s="265"/>
      <c r="J31" s="265"/>
      <c r="K31" s="265"/>
      <c r="L31" s="265"/>
    </row>
    <row r="32" spans="1:12" ht="15.75" thickBot="1" x14ac:dyDescent="0.3">
      <c r="A32" s="292"/>
      <c r="B32" s="316" t="s">
        <v>554</v>
      </c>
      <c r="C32" s="316"/>
      <c r="D32" s="324" t="s">
        <v>555</v>
      </c>
      <c r="E32" s="325"/>
      <c r="F32" s="326"/>
      <c r="G32" s="327"/>
      <c r="H32" s="265"/>
      <c r="I32" s="265"/>
      <c r="J32" s="265"/>
      <c r="K32" s="265"/>
      <c r="L32" s="265"/>
    </row>
    <row r="33" spans="1:12" ht="15.75" thickBot="1" x14ac:dyDescent="0.3">
      <c r="A33" s="275"/>
      <c r="B33" s="1031" t="s">
        <v>556</v>
      </c>
      <c r="C33" s="328"/>
      <c r="D33" s="265" t="s">
        <v>557</v>
      </c>
      <c r="E33" s="329" t="s">
        <v>558</v>
      </c>
      <c r="F33" s="330">
        <f ca="1">Ek/T</f>
        <v>772.52169078492909</v>
      </c>
      <c r="G33" s="331" t="s">
        <v>459</v>
      </c>
      <c r="H33" s="265"/>
      <c r="I33" s="299" t="s">
        <v>559</v>
      </c>
      <c r="J33" s="299" t="s">
        <v>560</v>
      </c>
      <c r="K33" s="299"/>
      <c r="L33" s="265"/>
    </row>
    <row r="34" spans="1:12" ht="15.75" thickBot="1" x14ac:dyDescent="0.3">
      <c r="A34" s="293"/>
      <c r="B34" s="1031"/>
      <c r="C34" s="328"/>
      <c r="D34" s="265" t="s">
        <v>561</v>
      </c>
      <c r="E34" s="265"/>
      <c r="F34" s="276"/>
      <c r="G34" s="276"/>
      <c r="H34" s="265"/>
      <c r="I34" s="265"/>
      <c r="J34" s="299" t="s">
        <v>562</v>
      </c>
      <c r="K34" s="265"/>
      <c r="L34" s="265"/>
    </row>
    <row r="35" spans="1:12" ht="15.75" thickBot="1" x14ac:dyDescent="0.3">
      <c r="A35" s="296"/>
      <c r="B35" s="1032"/>
      <c r="C35" s="332"/>
      <c r="D35" s="265"/>
      <c r="E35" s="265"/>
      <c r="F35" s="276"/>
      <c r="G35" s="276"/>
      <c r="H35" s="265"/>
      <c r="I35" s="265"/>
      <c r="J35" s="265"/>
      <c r="K35" s="265"/>
      <c r="L35" s="265"/>
    </row>
    <row r="36" spans="1:12" ht="15.75" thickBot="1" x14ac:dyDescent="0.3">
      <c r="A36" s="297"/>
      <c r="B36" s="301">
        <f ca="1">CYCTM</f>
        <v>0.82398977675931784</v>
      </c>
      <c r="C36" s="332"/>
      <c r="D36" s="333" t="s">
        <v>563</v>
      </c>
      <c r="E36" s="329"/>
      <c r="F36" s="334"/>
      <c r="G36" s="276"/>
      <c r="H36" s="265"/>
      <c r="I36" s="265"/>
      <c r="J36" s="265"/>
      <c r="K36" s="265"/>
      <c r="L36" s="265"/>
    </row>
    <row r="37" spans="1:12" x14ac:dyDescent="0.25">
      <c r="A37" s="296"/>
      <c r="B37" s="335"/>
      <c r="C37" s="265"/>
      <c r="D37" s="336"/>
      <c r="E37" s="329" t="s">
        <v>564</v>
      </c>
      <c r="F37" s="330">
        <f ca="1">(Ek)/(0.2*T)</f>
        <v>3862.6084539246449</v>
      </c>
      <c r="G37" s="276" t="s">
        <v>565</v>
      </c>
      <c r="H37" s="265"/>
      <c r="I37" s="265"/>
      <c r="J37" s="265"/>
      <c r="K37" s="265"/>
      <c r="L37" s="265"/>
    </row>
    <row r="38" spans="1:12" x14ac:dyDescent="0.25">
      <c r="A38" s="275"/>
      <c r="B38" s="265"/>
      <c r="C38" s="265"/>
      <c r="D38" s="265"/>
      <c r="E38" s="265"/>
      <c r="F38" s="276"/>
      <c r="G38" s="276"/>
      <c r="H38" s="265"/>
      <c r="I38" s="265"/>
      <c r="J38" s="265"/>
      <c r="K38" s="265"/>
      <c r="L38" s="265"/>
    </row>
    <row r="39" spans="1:12" x14ac:dyDescent="0.25">
      <c r="B39" s="265"/>
      <c r="C39" s="265"/>
      <c r="D39" s="265"/>
      <c r="E39" s="265"/>
      <c r="F39" s="265"/>
      <c r="G39" s="265"/>
      <c r="H39" s="265"/>
      <c r="I39" s="265"/>
      <c r="J39" s="265"/>
      <c r="K39" s="265"/>
      <c r="L39" s="265"/>
    </row>
    <row r="40" spans="1:12" x14ac:dyDescent="0.25">
      <c r="B40" s="265"/>
      <c r="C40" s="265"/>
      <c r="D40" s="265"/>
      <c r="E40" s="265"/>
      <c r="F40" s="265"/>
      <c r="G40" s="265"/>
      <c r="H40" s="265"/>
      <c r="I40" s="265"/>
      <c r="J40" s="265"/>
      <c r="K40" s="265"/>
      <c r="L40" s="265"/>
    </row>
    <row r="41" spans="1:12" x14ac:dyDescent="0.25">
      <c r="A41" s="600" t="s">
        <v>950</v>
      </c>
      <c r="B41" s="600"/>
      <c r="C41" s="600"/>
      <c r="D41" s="600" t="s">
        <v>826</v>
      </c>
      <c r="E41" s="600"/>
      <c r="F41" s="265"/>
      <c r="G41" s="265"/>
      <c r="H41" s="265"/>
      <c r="I41" s="265"/>
      <c r="J41" s="265"/>
      <c r="K41" s="265"/>
      <c r="L41" s="265"/>
    </row>
    <row r="42" spans="1:12" x14ac:dyDescent="0.25">
      <c r="A42" s="600" t="s">
        <v>908</v>
      </c>
      <c r="B42" s="600">
        <f ca="1">INDIRECT("'" &amp; A$41 &amp; "'!" &amp; A42)</f>
        <v>0.18849744418982947</v>
      </c>
      <c r="C42" s="600"/>
      <c r="D42" s="600" t="s">
        <v>466</v>
      </c>
      <c r="E42" s="600">
        <f ca="1">INDIRECT("'" &amp; D$41 &amp; "'!" &amp; D42)</f>
        <v>1.44514422413708</v>
      </c>
    </row>
    <row r="43" spans="1:12" x14ac:dyDescent="0.25">
      <c r="A43" s="600" t="s">
        <v>915</v>
      </c>
      <c r="B43" s="600">
        <f ca="1">INDIRECT("'" &amp; A$41 &amp; "'!" &amp; A43)</f>
        <v>0.82398977675931784</v>
      </c>
      <c r="C43" s="600"/>
      <c r="D43" s="600" t="s">
        <v>930</v>
      </c>
      <c r="E43" s="600">
        <f ca="1">INDIRECT("'" &amp; D$41 &amp; "'!" &amp; D43)</f>
        <v>0.26963535999999999</v>
      </c>
    </row>
    <row r="44" spans="1:12" x14ac:dyDescent="0.25">
      <c r="A44" s="600"/>
      <c r="B44" s="600"/>
      <c r="C44" s="600"/>
      <c r="D44" s="600" t="s">
        <v>985</v>
      </c>
      <c r="E44" s="600" t="str">
        <f ca="1">INDIRECT("'" &amp; D$41 &amp; "'!" &amp; D44)</f>
        <v>CPRF-S8</v>
      </c>
    </row>
    <row r="45" spans="1:12" x14ac:dyDescent="0.25">
      <c r="A45" s="600"/>
      <c r="B45" s="600"/>
      <c r="C45" s="600"/>
      <c r="D45" s="600" t="s">
        <v>517</v>
      </c>
      <c r="E45" s="600">
        <f ca="1">INDIRECT("'" &amp; D$41 &amp; "'!" &amp; D45)</f>
        <v>1499.9999999999998</v>
      </c>
    </row>
  </sheetData>
  <mergeCells count="17">
    <mergeCell ref="I1:K3"/>
    <mergeCell ref="B7:B9"/>
    <mergeCell ref="C7:C9"/>
    <mergeCell ref="D7:D9"/>
    <mergeCell ref="E7:E9"/>
    <mergeCell ref="F7:F9"/>
    <mergeCell ref="H7:H9"/>
    <mergeCell ref="D29:E29"/>
    <mergeCell ref="D30:E30"/>
    <mergeCell ref="B31:H31"/>
    <mergeCell ref="B33:B35"/>
    <mergeCell ref="B14:B16"/>
    <mergeCell ref="C14:C16"/>
    <mergeCell ref="D14:D16"/>
    <mergeCell ref="B21:B24"/>
    <mergeCell ref="D27:E27"/>
    <mergeCell ref="D28:E28"/>
  </mergeCells>
  <pageMargins left="0.7" right="0.7" top="0.75" bottom="0.75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B3E46-9FBE-4B91-9B30-7E5E32A03551}">
  <sheetPr codeName="Sheet36">
    <tabColor rgb="FFFF0000"/>
  </sheetPr>
  <dimension ref="A2:EA54"/>
  <sheetViews>
    <sheetView topLeftCell="A25" zoomScaleNormal="100" workbookViewId="0">
      <selection activeCell="A45" sqref="A45:B54"/>
    </sheetView>
  </sheetViews>
  <sheetFormatPr defaultRowHeight="15" x14ac:dyDescent="0.25"/>
  <cols>
    <col min="1" max="1" width="17.140625" customWidth="1"/>
    <col min="2" max="2" width="10" bestFit="1" customWidth="1"/>
    <col min="4" max="4" width="10.28515625" bestFit="1" customWidth="1"/>
    <col min="10" max="10" width="10.42578125" customWidth="1"/>
    <col min="13" max="13" width="10" bestFit="1" customWidth="1"/>
    <col min="15" max="15" width="10" customWidth="1"/>
    <col min="21" max="21" width="10.42578125" customWidth="1"/>
    <col min="24" max="24" width="10" bestFit="1" customWidth="1"/>
    <col min="26" max="26" width="11" customWidth="1"/>
    <col min="32" max="32" width="10.85546875" customWidth="1"/>
    <col min="35" max="35" width="9.85546875" customWidth="1"/>
    <col min="37" max="37" width="10.140625" customWidth="1"/>
    <col min="43" max="43" width="10.5703125" customWidth="1"/>
    <col min="46" max="46" width="10" customWidth="1"/>
    <col min="48" max="48" width="11.140625" customWidth="1"/>
    <col min="54" max="54" width="10.5703125" customWidth="1"/>
    <col min="56" max="56" width="10.5703125" customWidth="1"/>
    <col min="57" max="57" width="10.7109375" customWidth="1"/>
    <col min="59" max="59" width="10.140625" customWidth="1"/>
    <col min="65" max="65" width="11.140625" customWidth="1"/>
    <col min="68" max="68" width="11.5703125" customWidth="1"/>
    <col min="70" max="70" width="11.140625" customWidth="1"/>
    <col min="76" max="76" width="10.5703125" customWidth="1"/>
    <col min="79" max="79" width="10.5703125" customWidth="1"/>
    <col min="81" max="81" width="11.42578125" customWidth="1"/>
    <col min="87" max="87" width="10.140625" customWidth="1"/>
    <col min="90" max="90" width="11" customWidth="1"/>
    <col min="91" max="91" width="10.42578125" customWidth="1"/>
    <col min="92" max="92" width="10.28515625" customWidth="1"/>
    <col min="98" max="98" width="10.7109375" customWidth="1"/>
    <col min="101" max="101" width="10.85546875" customWidth="1"/>
    <col min="106" max="106" width="10.42578125" customWidth="1"/>
    <col min="109" max="109" width="10.5703125" customWidth="1"/>
    <col min="112" max="112" width="12.28515625" customWidth="1"/>
    <col min="117" max="117" width="10.28515625" customWidth="1"/>
    <col min="119" max="119" width="10" customWidth="1"/>
    <col min="120" max="120" width="11.5703125" customWidth="1"/>
    <col min="123" max="123" width="11.140625" customWidth="1"/>
    <col min="128" max="128" width="12.7109375" customWidth="1"/>
    <col min="129" max="129" width="10.85546875" customWidth="1"/>
    <col min="130" max="131" width="11.140625" customWidth="1"/>
  </cols>
  <sheetData>
    <row r="2" spans="1:131" x14ac:dyDescent="0.25">
      <c r="A2" t="s">
        <v>566</v>
      </c>
      <c r="L2" t="s">
        <v>492</v>
      </c>
      <c r="W2" t="s">
        <v>496</v>
      </c>
      <c r="AH2" t="s">
        <v>567</v>
      </c>
      <c r="AS2" t="s">
        <v>500</v>
      </c>
      <c r="BD2" t="s">
        <v>568</v>
      </c>
      <c r="BO2" t="s">
        <v>504</v>
      </c>
      <c r="BZ2" t="s">
        <v>569</v>
      </c>
      <c r="CK2" t="s">
        <v>507</v>
      </c>
      <c r="CV2" t="s">
        <v>510</v>
      </c>
      <c r="DG2" t="s">
        <v>511</v>
      </c>
      <c r="DR2" t="s">
        <v>514</v>
      </c>
    </row>
    <row r="4" spans="1:131" ht="15.75" x14ac:dyDescent="0.25">
      <c r="A4" s="248"/>
      <c r="B4" s="338" t="s">
        <v>570</v>
      </c>
      <c r="C4" s="338" t="s">
        <v>571</v>
      </c>
      <c r="D4" s="338" t="s">
        <v>572</v>
      </c>
      <c r="E4" s="338" t="s">
        <v>573</v>
      </c>
      <c r="F4" s="338" t="s">
        <v>574</v>
      </c>
      <c r="G4" s="338" t="s">
        <v>575</v>
      </c>
      <c r="H4" s="338" t="s">
        <v>576</v>
      </c>
      <c r="I4" s="338" t="s">
        <v>103</v>
      </c>
      <c r="J4" s="338" t="s">
        <v>577</v>
      </c>
      <c r="L4" s="248"/>
      <c r="M4" s="338" t="s">
        <v>570</v>
      </c>
      <c r="N4" s="338" t="s">
        <v>571</v>
      </c>
      <c r="O4" s="338" t="s">
        <v>572</v>
      </c>
      <c r="P4" s="338" t="s">
        <v>573</v>
      </c>
      <c r="Q4" s="338" t="s">
        <v>574</v>
      </c>
      <c r="R4" s="338" t="s">
        <v>575</v>
      </c>
      <c r="S4" s="338" t="s">
        <v>576</v>
      </c>
      <c r="T4" s="338" t="s">
        <v>103</v>
      </c>
      <c r="U4" s="338" t="s">
        <v>577</v>
      </c>
      <c r="W4" s="248"/>
      <c r="X4" s="338" t="s">
        <v>570</v>
      </c>
      <c r="Y4" s="338" t="s">
        <v>571</v>
      </c>
      <c r="Z4" s="338" t="s">
        <v>572</v>
      </c>
      <c r="AA4" s="338" t="s">
        <v>573</v>
      </c>
      <c r="AB4" s="338" t="s">
        <v>574</v>
      </c>
      <c r="AC4" s="338" t="s">
        <v>575</v>
      </c>
      <c r="AD4" s="338" t="s">
        <v>576</v>
      </c>
      <c r="AE4" s="338" t="s">
        <v>103</v>
      </c>
      <c r="AF4" s="338" t="s">
        <v>577</v>
      </c>
      <c r="AH4" s="248"/>
      <c r="AI4" s="338" t="s">
        <v>570</v>
      </c>
      <c r="AJ4" s="338" t="s">
        <v>571</v>
      </c>
      <c r="AK4" s="338" t="s">
        <v>572</v>
      </c>
      <c r="AL4" s="338" t="s">
        <v>573</v>
      </c>
      <c r="AM4" s="338" t="s">
        <v>574</v>
      </c>
      <c r="AN4" s="338" t="s">
        <v>575</v>
      </c>
      <c r="AO4" s="338" t="s">
        <v>576</v>
      </c>
      <c r="AP4" s="338" t="s">
        <v>103</v>
      </c>
      <c r="AQ4" s="338" t="s">
        <v>577</v>
      </c>
      <c r="AS4" s="248"/>
      <c r="AT4" s="338" t="s">
        <v>570</v>
      </c>
      <c r="AU4" s="338" t="s">
        <v>571</v>
      </c>
      <c r="AV4" s="338" t="s">
        <v>572</v>
      </c>
      <c r="AW4" s="338" t="s">
        <v>573</v>
      </c>
      <c r="AX4" s="338" t="s">
        <v>574</v>
      </c>
      <c r="AY4" s="338" t="s">
        <v>575</v>
      </c>
      <c r="AZ4" s="338" t="s">
        <v>576</v>
      </c>
      <c r="BA4" s="338" t="s">
        <v>103</v>
      </c>
      <c r="BB4" s="338" t="s">
        <v>577</v>
      </c>
      <c r="BD4" s="248"/>
      <c r="BE4" s="338" t="s">
        <v>570</v>
      </c>
      <c r="BF4" s="338" t="s">
        <v>571</v>
      </c>
      <c r="BG4" s="338" t="s">
        <v>572</v>
      </c>
      <c r="BH4" s="338" t="s">
        <v>573</v>
      </c>
      <c r="BI4" s="338" t="s">
        <v>574</v>
      </c>
      <c r="BJ4" s="338" t="s">
        <v>575</v>
      </c>
      <c r="BK4" s="338" t="s">
        <v>576</v>
      </c>
      <c r="BL4" s="338" t="s">
        <v>103</v>
      </c>
      <c r="BM4" s="338" t="s">
        <v>577</v>
      </c>
      <c r="BO4" s="245"/>
      <c r="BP4" s="338" t="s">
        <v>570</v>
      </c>
      <c r="BQ4" s="338" t="s">
        <v>571</v>
      </c>
      <c r="BR4" s="338" t="s">
        <v>572</v>
      </c>
      <c r="BS4" s="338" t="s">
        <v>573</v>
      </c>
      <c r="BT4" s="338" t="s">
        <v>574</v>
      </c>
      <c r="BU4" s="338" t="s">
        <v>575</v>
      </c>
      <c r="BV4" s="338" t="s">
        <v>576</v>
      </c>
      <c r="BW4" s="338" t="s">
        <v>103</v>
      </c>
      <c r="BX4" s="338" t="s">
        <v>577</v>
      </c>
      <c r="BZ4" s="245"/>
      <c r="CA4" s="338" t="s">
        <v>570</v>
      </c>
      <c r="CB4" s="338" t="s">
        <v>571</v>
      </c>
      <c r="CC4" s="338" t="s">
        <v>572</v>
      </c>
      <c r="CD4" s="338" t="s">
        <v>573</v>
      </c>
      <c r="CE4" s="338" t="s">
        <v>574</v>
      </c>
      <c r="CF4" s="338" t="s">
        <v>575</v>
      </c>
      <c r="CG4" s="338" t="s">
        <v>576</v>
      </c>
      <c r="CH4" s="338" t="s">
        <v>103</v>
      </c>
      <c r="CI4" s="338" t="s">
        <v>577</v>
      </c>
      <c r="CK4" s="248"/>
      <c r="CL4" s="338" t="s">
        <v>570</v>
      </c>
      <c r="CM4" s="338" t="s">
        <v>571</v>
      </c>
      <c r="CN4" s="338" t="s">
        <v>572</v>
      </c>
      <c r="CO4" s="338" t="s">
        <v>573</v>
      </c>
      <c r="CP4" s="338" t="s">
        <v>574</v>
      </c>
      <c r="CQ4" s="338" t="s">
        <v>575</v>
      </c>
      <c r="CR4" s="338" t="s">
        <v>576</v>
      </c>
      <c r="CS4" s="338" t="s">
        <v>103</v>
      </c>
      <c r="CT4" s="338" t="s">
        <v>577</v>
      </c>
      <c r="CV4" s="248"/>
      <c r="CW4" s="338" t="s">
        <v>570</v>
      </c>
      <c r="CX4" s="338" t="s">
        <v>571</v>
      </c>
      <c r="CY4" s="338" t="s">
        <v>572</v>
      </c>
      <c r="CZ4" s="338" t="s">
        <v>573</v>
      </c>
      <c r="DA4" s="338" t="s">
        <v>574</v>
      </c>
      <c r="DB4" s="337" t="s">
        <v>575</v>
      </c>
      <c r="DC4" s="338" t="s">
        <v>576</v>
      </c>
      <c r="DD4" s="338" t="s">
        <v>103</v>
      </c>
      <c r="DE4" s="338" t="s">
        <v>577</v>
      </c>
      <c r="DG4" s="248"/>
      <c r="DH4" s="338" t="s">
        <v>570</v>
      </c>
      <c r="DI4" s="338" t="s">
        <v>571</v>
      </c>
      <c r="DJ4" s="338" t="s">
        <v>572</v>
      </c>
      <c r="DK4" s="338" t="s">
        <v>573</v>
      </c>
      <c r="DL4" s="338" t="s">
        <v>574</v>
      </c>
      <c r="DM4" s="337" t="s">
        <v>575</v>
      </c>
      <c r="DN4" s="338" t="s">
        <v>576</v>
      </c>
      <c r="DO4" s="338" t="s">
        <v>103</v>
      </c>
      <c r="DP4" s="338" t="s">
        <v>577</v>
      </c>
      <c r="DR4" s="248"/>
      <c r="DS4" s="338" t="s">
        <v>570</v>
      </c>
      <c r="DT4" s="338" t="s">
        <v>571</v>
      </c>
      <c r="DU4" s="338" t="s">
        <v>572</v>
      </c>
      <c r="DV4" s="338" t="s">
        <v>573</v>
      </c>
      <c r="DW4" s="338" t="s">
        <v>574</v>
      </c>
      <c r="DX4" s="337" t="s">
        <v>575</v>
      </c>
      <c r="DY4" s="338" t="s">
        <v>576</v>
      </c>
      <c r="DZ4" s="338" t="s">
        <v>103</v>
      </c>
      <c r="EA4" s="338" t="s">
        <v>577</v>
      </c>
    </row>
    <row r="5" spans="1:131" ht="15.75" x14ac:dyDescent="0.25">
      <c r="A5" s="248"/>
      <c r="B5" s="245"/>
      <c r="C5" s="245"/>
      <c r="D5" s="245"/>
      <c r="E5" s="245"/>
      <c r="F5" s="245"/>
      <c r="G5" s="245"/>
      <c r="H5" s="245"/>
      <c r="I5" s="245"/>
      <c r="J5" s="245"/>
      <c r="L5" s="248"/>
      <c r="M5" s="245"/>
      <c r="N5" s="245"/>
      <c r="O5" s="245"/>
      <c r="P5" s="245"/>
      <c r="Q5" s="245"/>
      <c r="R5" s="245"/>
      <c r="S5" s="245"/>
      <c r="T5" s="245"/>
      <c r="U5" s="245"/>
      <c r="W5" s="248"/>
      <c r="X5" s="245"/>
      <c r="Y5" s="245"/>
      <c r="Z5" s="245"/>
      <c r="AA5" s="245"/>
      <c r="AB5" s="245"/>
      <c r="AC5" s="245"/>
      <c r="AD5" s="245"/>
      <c r="AE5" s="245"/>
      <c r="AF5" s="245"/>
      <c r="AH5" s="248"/>
      <c r="AI5" s="245"/>
      <c r="AJ5" s="245"/>
      <c r="AK5" s="245"/>
      <c r="AL5" s="245"/>
      <c r="AM5" s="245"/>
      <c r="AN5" s="245"/>
      <c r="AO5" s="245"/>
      <c r="AP5" s="245"/>
      <c r="AQ5" s="245"/>
      <c r="AS5" s="248"/>
      <c r="AT5" s="245"/>
      <c r="AU5" s="245"/>
      <c r="AV5" s="245"/>
      <c r="AW5" s="245"/>
      <c r="AX5" s="245"/>
      <c r="AY5" s="245"/>
      <c r="AZ5" s="245"/>
      <c r="BA5" s="245"/>
      <c r="BB5" s="245"/>
      <c r="BD5" s="248"/>
      <c r="BE5" s="245"/>
      <c r="BF5" s="245"/>
      <c r="BG5" s="245"/>
      <c r="BH5" s="245"/>
      <c r="BI5" s="245"/>
      <c r="BJ5" s="245"/>
      <c r="BK5" s="245"/>
      <c r="BL5" s="245"/>
      <c r="BM5" s="245"/>
      <c r="BO5" s="245"/>
      <c r="BP5" s="245"/>
      <c r="BQ5" s="245"/>
      <c r="BR5" s="245"/>
      <c r="BS5" s="245"/>
      <c r="BT5" s="245"/>
      <c r="BU5" s="245"/>
      <c r="BV5" s="245"/>
      <c r="BW5" s="245"/>
      <c r="BX5" s="245"/>
      <c r="BZ5" s="245"/>
      <c r="CA5" s="245"/>
      <c r="CB5" s="245"/>
      <c r="CC5" s="245"/>
      <c r="CD5" s="245"/>
      <c r="CE5" s="245"/>
      <c r="CF5" s="245"/>
      <c r="CG5" s="245"/>
      <c r="CH5" s="245"/>
      <c r="CI5" s="245"/>
      <c r="CK5" s="248"/>
      <c r="CL5" s="245"/>
      <c r="CM5" s="245"/>
      <c r="CN5" s="245"/>
      <c r="CO5" s="245"/>
      <c r="CP5" s="245"/>
      <c r="CQ5" s="245"/>
      <c r="CR5" s="245"/>
      <c r="CS5" s="245"/>
      <c r="CT5" s="245"/>
      <c r="CV5" s="248"/>
      <c r="CW5" s="245"/>
      <c r="CX5" s="245"/>
      <c r="CY5" s="245"/>
      <c r="CZ5" s="245"/>
      <c r="DA5" s="245"/>
      <c r="DB5" s="245"/>
      <c r="DC5" s="245"/>
      <c r="DD5" s="257"/>
      <c r="DE5" s="245"/>
      <c r="DG5" s="248"/>
      <c r="DH5" s="245"/>
      <c r="DI5" s="245"/>
      <c r="DJ5" s="245"/>
      <c r="DK5" s="245"/>
      <c r="DL5" s="245"/>
      <c r="DM5" s="245"/>
      <c r="DN5" s="245"/>
      <c r="DO5" s="257"/>
      <c r="DP5" s="245"/>
      <c r="DR5" s="248"/>
      <c r="DS5" s="245"/>
      <c r="DT5" s="245"/>
      <c r="DU5" s="245"/>
      <c r="DV5" s="245"/>
      <c r="DW5" s="245"/>
      <c r="DX5" s="245"/>
      <c r="DY5" s="245"/>
      <c r="DZ5" s="257"/>
      <c r="EA5" s="245"/>
    </row>
    <row r="6" spans="1:131" ht="15.75" x14ac:dyDescent="0.25">
      <c r="A6" s="248"/>
      <c r="B6" s="245"/>
      <c r="C6" s="245"/>
      <c r="D6" s="245"/>
      <c r="E6" s="245"/>
      <c r="F6" s="245"/>
      <c r="G6" s="245"/>
      <c r="H6" s="245"/>
      <c r="I6" s="245"/>
      <c r="J6" s="245"/>
      <c r="L6" s="248"/>
      <c r="M6" s="245"/>
      <c r="N6" s="245"/>
      <c r="O6" s="245"/>
      <c r="P6" s="245"/>
      <c r="Q6" s="245"/>
      <c r="R6" s="245"/>
      <c r="S6" s="245"/>
      <c r="T6" s="245"/>
      <c r="U6" s="245"/>
      <c r="W6" s="248"/>
      <c r="X6" s="245"/>
      <c r="Y6" s="245"/>
      <c r="Z6" s="245"/>
      <c r="AA6" s="245"/>
      <c r="AB6" s="245"/>
      <c r="AC6" s="245"/>
      <c r="AD6" s="245"/>
      <c r="AE6" s="245"/>
      <c r="AF6" s="245"/>
      <c r="AH6" s="248"/>
      <c r="AI6" s="245"/>
      <c r="AJ6" s="245"/>
      <c r="AK6" s="245"/>
      <c r="AL6" s="245"/>
      <c r="AM6" s="245"/>
      <c r="AN6" s="245"/>
      <c r="AO6" s="245"/>
      <c r="AP6" s="245"/>
      <c r="AQ6" s="245"/>
      <c r="AS6" s="248"/>
      <c r="AT6" s="245"/>
      <c r="AU6" s="245"/>
      <c r="AV6" s="245"/>
      <c r="AW6" s="245"/>
      <c r="AX6" s="245"/>
      <c r="AY6" s="245"/>
      <c r="AZ6" s="245"/>
      <c r="BA6" s="245"/>
      <c r="BB6" s="245"/>
      <c r="BD6" s="248"/>
      <c r="BE6" s="245"/>
      <c r="BF6" s="245"/>
      <c r="BG6" s="245"/>
      <c r="BH6" s="245"/>
      <c r="BI6" s="245"/>
      <c r="BJ6" s="245"/>
      <c r="BK6" s="245"/>
      <c r="BL6" s="245"/>
      <c r="BM6" s="245"/>
      <c r="BO6" s="248"/>
      <c r="BP6" s="245"/>
      <c r="BQ6" s="245"/>
      <c r="BR6" s="245"/>
      <c r="BS6" s="245"/>
      <c r="BT6" s="245"/>
      <c r="BU6" s="253"/>
      <c r="BV6" s="254"/>
      <c r="BW6" s="245"/>
      <c r="BX6" s="245"/>
      <c r="BZ6" s="248"/>
      <c r="CA6" s="245"/>
      <c r="CB6" s="245"/>
      <c r="CC6" s="245"/>
      <c r="CD6" s="245"/>
      <c r="CE6" s="245"/>
      <c r="CF6" s="253"/>
      <c r="CG6" s="254"/>
      <c r="CH6" s="245"/>
      <c r="CI6" s="245"/>
      <c r="CK6" s="248"/>
      <c r="CL6" s="245"/>
      <c r="CM6" s="245"/>
      <c r="CN6" s="245"/>
      <c r="CO6" s="245"/>
      <c r="CP6" s="245"/>
      <c r="CQ6" s="253"/>
      <c r="CR6" s="254"/>
      <c r="CS6" s="245"/>
      <c r="CT6" s="245"/>
      <c r="CV6" s="250" t="s">
        <v>578</v>
      </c>
      <c r="CW6" s="255">
        <v>6</v>
      </c>
      <c r="CX6" s="339">
        <v>0</v>
      </c>
      <c r="CY6" s="339">
        <f ca="1">IF(RollWidth="Y", VALUE(Width)+1.725, VALUE(Width)*0.5)</f>
        <v>43.725000000000001</v>
      </c>
      <c r="CZ6" s="251">
        <v>0.28299999999999997</v>
      </c>
      <c r="DA6" s="252">
        <v>1</v>
      </c>
      <c r="DB6" s="340">
        <f ca="1">((PI()*CY6*CZ6/4)*(CW6^2-CX6^2))*DA6</f>
        <v>349.87155546811027</v>
      </c>
      <c r="DC6" s="254">
        <f ca="1">(((DB6/386.4)*(CW6^2+CX6^2))/8)</f>
        <v>4.0745910962901046</v>
      </c>
      <c r="DD6" s="255">
        <f ca="1">Ratio</f>
        <v>11.111000000000001</v>
      </c>
      <c r="DE6" s="256">
        <f ca="1">(DC6/(DD6^2))</f>
        <v>3.3004847973608829E-2</v>
      </c>
      <c r="DG6" s="250" t="s">
        <v>578</v>
      </c>
      <c r="DH6" s="339">
        <v>7</v>
      </c>
      <c r="DI6" s="339">
        <v>0</v>
      </c>
      <c r="DJ6" s="339">
        <f ca="1">IF(RollWidth="Y", VALUE(Width)+1.725, VALUE(Width)*0.5)</f>
        <v>43.725000000000001</v>
      </c>
      <c r="DK6" s="254">
        <v>0.28299999999999997</v>
      </c>
      <c r="DL6" s="252">
        <v>1</v>
      </c>
      <c r="DM6" s="340">
        <f ca="1">((PI()*DJ6*DK6/4)*(DH6^2-DI6^2))*DL6</f>
        <v>476.21406160937232</v>
      </c>
      <c r="DN6" s="254">
        <f ca="1">(((DM6/386.4)*(DH6^2+DI6^2))/8)</f>
        <v>7.5486830418152326</v>
      </c>
      <c r="DO6" s="255">
        <f ca="1">Ratio</f>
        <v>11.111000000000001</v>
      </c>
      <c r="DP6" s="256">
        <f ca="1">(DN6/(DO6^2))</f>
        <v>6.1145555543699694E-2</v>
      </c>
      <c r="DR6" s="250" t="s">
        <v>578</v>
      </c>
      <c r="DS6" s="341">
        <v>8</v>
      </c>
      <c r="DT6" s="341">
        <v>0</v>
      </c>
      <c r="DU6" s="342">
        <f ca="1">IF(RollWidth="Y", VALUE(Width)+1.725, VALUE(Width)*0.5)</f>
        <v>43.725000000000001</v>
      </c>
      <c r="DV6" s="251">
        <v>0.28299999999999997</v>
      </c>
      <c r="DW6" s="252">
        <v>1</v>
      </c>
      <c r="DX6" s="340">
        <f ca="1">((PI()*DU6*DV6/4)*(DS6^2-DT6^2))*DW6</f>
        <v>621.99387638775158</v>
      </c>
      <c r="DY6" s="254">
        <f ca="1">(((DX6/386.4)*(DS6^2+DT6^2))/8)</f>
        <v>12.877720008027984</v>
      </c>
      <c r="DZ6" s="341">
        <f ca="1">Ratio</f>
        <v>11.111000000000001</v>
      </c>
      <c r="EA6" s="256">
        <f ca="1">(DY6/(DZ6^2))</f>
        <v>0.10431161828696123</v>
      </c>
    </row>
    <row r="7" spans="1:131" ht="15.75" x14ac:dyDescent="0.25">
      <c r="A7" s="250" t="s">
        <v>578</v>
      </c>
      <c r="B7" s="251">
        <v>2.25</v>
      </c>
      <c r="C7" s="251">
        <v>0</v>
      </c>
      <c r="D7" s="251">
        <f ca="1">VALUE(Width)+0.75</f>
        <v>42.75</v>
      </c>
      <c r="E7" s="251">
        <v>0.28299999999999997</v>
      </c>
      <c r="F7" s="252">
        <v>1</v>
      </c>
      <c r="G7" s="253">
        <f ca="1">((PI()*D7*E7/4)*(B7^2-C7^2))*F7</f>
        <v>48.103588109761084</v>
      </c>
      <c r="H7" s="254">
        <f ca="1">(((G7/386.4)*(B7^2+C7^2))/8)</f>
        <v>7.8779896093965296E-2</v>
      </c>
      <c r="I7" s="255">
        <f ca="1">Ratio</f>
        <v>11.111000000000001</v>
      </c>
      <c r="J7" s="256">
        <f ca="1">(H7/(I7^2))</f>
        <v>6.3812992089572369E-4</v>
      </c>
      <c r="L7" s="250" t="s">
        <v>578</v>
      </c>
      <c r="M7" s="251">
        <v>2.25</v>
      </c>
      <c r="N7" s="251">
        <v>0</v>
      </c>
      <c r="O7" s="251">
        <f ca="1">VALUE(Width)+0.75</f>
        <v>42.75</v>
      </c>
      <c r="P7" s="251">
        <v>0.28299999999999997</v>
      </c>
      <c r="Q7" s="252">
        <v>1</v>
      </c>
      <c r="R7" s="253">
        <f ca="1">((PI()*P7*O7/4)*(M7^2-N7^2))*Q7</f>
        <v>48.103588109761084</v>
      </c>
      <c r="S7" s="254">
        <f ca="1">(((R7/386.4)*(M7^2+N7^2))/8)</f>
        <v>7.8779896093965296E-2</v>
      </c>
      <c r="T7" s="255">
        <f ca="1">Ratio</f>
        <v>11.111000000000001</v>
      </c>
      <c r="U7" s="256">
        <f ca="1">(S7/(T7^2))</f>
        <v>6.3812992089572369E-4</v>
      </c>
      <c r="W7" s="250" t="s">
        <v>578</v>
      </c>
      <c r="X7" s="251">
        <v>2.625</v>
      </c>
      <c r="Y7" s="251">
        <v>0</v>
      </c>
      <c r="Z7" s="251">
        <f ca="1">VALUE(Width)+0.75</f>
        <v>42.75</v>
      </c>
      <c r="AA7" s="251">
        <v>0.28299999999999997</v>
      </c>
      <c r="AB7" s="252">
        <v>1</v>
      </c>
      <c r="AC7" s="253">
        <f ca="1">((PI()*Z7*AA7/4)*(X7^2-Y7^2))*AB7</f>
        <v>65.474328260508145</v>
      </c>
      <c r="AD7" s="254">
        <f ca="1">(((AC7/386.4)*(X7^2+Y7^2))/8)</f>
        <v>0.14594948342716874</v>
      </c>
      <c r="AE7" s="255">
        <f ca="1">Ratio</f>
        <v>11.111000000000001</v>
      </c>
      <c r="AF7" s="256">
        <f ca="1">(AD7/(AE7^2))</f>
        <v>1.1822144599310438E-3</v>
      </c>
      <c r="AH7" s="250" t="s">
        <v>578</v>
      </c>
      <c r="AI7" s="251">
        <v>2.625</v>
      </c>
      <c r="AJ7" s="251">
        <v>0</v>
      </c>
      <c r="AK7" s="251">
        <f ca="1">VALUE(Width)+0.75</f>
        <v>42.75</v>
      </c>
      <c r="AL7" s="251">
        <v>0.28299999999999997</v>
      </c>
      <c r="AM7" s="252">
        <v>1</v>
      </c>
      <c r="AN7" s="253">
        <f ca="1">((PI()*AK7*AL7/4)*(AI7^2-AJ7^2))*AM7</f>
        <v>65.474328260508145</v>
      </c>
      <c r="AO7" s="254">
        <f ca="1">(((AN7/386.4)*(AI7^2+AJ7^2))/8)</f>
        <v>0.14594948342716874</v>
      </c>
      <c r="AP7" s="255">
        <f ca="1">Ratio</f>
        <v>11.111000000000001</v>
      </c>
      <c r="AQ7" s="256">
        <f ca="1">(AO7/(AP7^2))</f>
        <v>1.1822144599310438E-3</v>
      </c>
      <c r="AS7" s="250" t="s">
        <v>579</v>
      </c>
      <c r="AT7" s="251">
        <v>3</v>
      </c>
      <c r="AU7" s="251">
        <v>0</v>
      </c>
      <c r="AV7" s="251">
        <f ca="1">IF(RollWidth="Y", VALUE(Width)+1.99, VALUE(Width)*0.5)</f>
        <v>43.99</v>
      </c>
      <c r="AW7" s="251">
        <v>0.28299999999999997</v>
      </c>
      <c r="AX7" s="252">
        <v>1</v>
      </c>
      <c r="AY7" s="253">
        <f ca="1">((PI()*AV7*AW7/4)*(AT7^2-AU7^2))*AX7</f>
        <v>87.997997284403496</v>
      </c>
      <c r="AZ7" s="254">
        <f ca="1">(((AY7/386.4)*(AT7^2+AU7^2))/8)</f>
        <v>0.25620534923642324</v>
      </c>
      <c r="BA7" s="251">
        <f ca="1">Ratio</f>
        <v>11.111000000000001</v>
      </c>
      <c r="BB7" s="256">
        <f ca="1">(AZ7/(BA7^2))</f>
        <v>2.0753048347041917E-3</v>
      </c>
      <c r="BD7" s="250" t="s">
        <v>579</v>
      </c>
      <c r="BE7" s="251">
        <v>3</v>
      </c>
      <c r="BF7" s="251">
        <v>0</v>
      </c>
      <c r="BG7" s="251">
        <f ca="1">IF(RollWidth="Y", VALUE(Width)+1.99, VALUE(Width)*0.5)</f>
        <v>43.99</v>
      </c>
      <c r="BH7" s="251">
        <v>0.28299999999999997</v>
      </c>
      <c r="BI7" s="252">
        <v>1</v>
      </c>
      <c r="BJ7" s="253">
        <f ca="1">((PI()*BG7*BH7/4)*(BE7^2-BF7^2))*BI7</f>
        <v>87.997997284403496</v>
      </c>
      <c r="BK7" s="254">
        <f ca="1">(((BJ7/386.4)*(BE7^2+BF7^2))/8)</f>
        <v>0.25620534923642324</v>
      </c>
      <c r="BL7" s="251">
        <f ca="1">Ratio</f>
        <v>11.111000000000001</v>
      </c>
      <c r="BM7" s="256">
        <f ca="1">(BK7/(BL7^2))</f>
        <v>2.0753048347041917E-3</v>
      </c>
      <c r="BO7" s="250" t="s">
        <v>579</v>
      </c>
      <c r="BP7" s="251">
        <v>4</v>
      </c>
      <c r="BQ7" s="251">
        <v>0</v>
      </c>
      <c r="BR7" s="251">
        <f ca="1">IF(RollWidth="Y", VALUE(Width)+1.99, VALUE(Width)*0.5)</f>
        <v>43.99</v>
      </c>
      <c r="BS7" s="251">
        <v>0.28299999999999997</v>
      </c>
      <c r="BT7" s="252">
        <v>1</v>
      </c>
      <c r="BU7" s="253">
        <f ca="1">((PI()*BR7*BS7/4)*(BP7^2-BQ7^2))*BT7</f>
        <v>156.44088406116177</v>
      </c>
      <c r="BV7" s="254">
        <f ca="1">(((BU7/386.4)*(BP7^2+BQ7^2))/8)</f>
        <v>0.80973542474721416</v>
      </c>
      <c r="BW7" s="255">
        <f ca="1">Ratio</f>
        <v>11.111000000000001</v>
      </c>
      <c r="BX7" s="256">
        <f ca="1">(BV7/(BW7^2))</f>
        <v>6.5589881195589261E-3</v>
      </c>
      <c r="BZ7" s="250" t="s">
        <v>579</v>
      </c>
      <c r="CA7" s="251">
        <v>4</v>
      </c>
      <c r="CB7" s="251">
        <v>1</v>
      </c>
      <c r="CC7" s="251">
        <f ca="1">IF(RollWidth="Y", VALUE(Width)+1.99, VALUE(Width)*0.5)</f>
        <v>43.99</v>
      </c>
      <c r="CD7" s="251">
        <v>0.28299999999999997</v>
      </c>
      <c r="CE7" s="252">
        <v>1</v>
      </c>
      <c r="CF7" s="253">
        <f ca="1">((PI()*CC7*CD7/4)*(CA7^2-CB7^2))*CE7</f>
        <v>146.66332880733916</v>
      </c>
      <c r="CG7" s="254">
        <f ca="1">(((CF7/386.4)*(CA7^2+CB7^2))/8)</f>
        <v>0.80657239574429529</v>
      </c>
      <c r="CH7" s="255">
        <f ca="1">Ratio</f>
        <v>11.111000000000001</v>
      </c>
      <c r="CI7" s="256">
        <f ca="1">(CG7/(CH7^2))</f>
        <v>6.5333670722168983E-3</v>
      </c>
      <c r="CK7" s="250" t="s">
        <v>579</v>
      </c>
      <c r="CL7" s="251">
        <v>5</v>
      </c>
      <c r="CM7" s="251">
        <v>0</v>
      </c>
      <c r="CN7" s="251">
        <f ca="1">IF(RollWidth="Y", VALUE(Width)+0.49, VALUE(Width)*0.5)</f>
        <v>42.49</v>
      </c>
      <c r="CO7" s="251">
        <v>0.28299999999999997</v>
      </c>
      <c r="CP7" s="252">
        <v>1</v>
      </c>
      <c r="CQ7" s="253">
        <f ca="1">((PI()*CN7*CO7/4)*(CL7^2-CM7^2))*CP7</f>
        <v>236.10384333650987</v>
      </c>
      <c r="CR7" s="254">
        <f ca="1">(((CQ7/386.4)*(CL7^2+CM7^2))/8)</f>
        <v>1.9094837226361114</v>
      </c>
      <c r="CS7" s="255">
        <f ca="1">Ratio</f>
        <v>11.111000000000001</v>
      </c>
      <c r="CT7" s="256">
        <f ca="1">(CR7/(CS7^2))</f>
        <v>1.5467127494355675E-2</v>
      </c>
      <c r="CV7" s="250"/>
      <c r="CW7" s="255">
        <v>4.5</v>
      </c>
      <c r="CX7" s="339">
        <v>0</v>
      </c>
      <c r="CY7" s="339">
        <f ca="1">IF(RollWidth="Y", 0, (VALUE(Width)+1.725)-(VALUE(Width)*0.5))</f>
        <v>0</v>
      </c>
      <c r="CZ7" s="251">
        <v>0.28299999999999997</v>
      </c>
      <c r="DA7" s="252">
        <v>1</v>
      </c>
      <c r="DB7" s="340">
        <f ca="1">((PI()*CY7*CZ7/4)*(CW7^2-CX7^2))*DA7</f>
        <v>0</v>
      </c>
      <c r="DC7" s="254">
        <f ca="1">(((DB7/386.4)*(CW7^2+CX7^2))/8)</f>
        <v>0</v>
      </c>
      <c r="DD7" s="255">
        <f ca="1">Ratio</f>
        <v>11.111000000000001</v>
      </c>
      <c r="DE7" s="256">
        <f ca="1">(DC7/(DD7^2))</f>
        <v>0</v>
      </c>
      <c r="DG7" s="250"/>
      <c r="DH7" s="339">
        <v>6</v>
      </c>
      <c r="DI7" s="339">
        <v>0</v>
      </c>
      <c r="DJ7" s="339">
        <f ca="1">IF(RollWidth="Y", 0, (VALUE(Width)+1.725)-(VALUE(Width)*0.5))</f>
        <v>0</v>
      </c>
      <c r="DK7" s="254">
        <v>0.28299999999999997</v>
      </c>
      <c r="DL7" s="252">
        <v>1</v>
      </c>
      <c r="DM7" s="340">
        <f ca="1">((PI()*DJ7*DK7/4)*(DH7^2-DI7^2))*DL7</f>
        <v>0</v>
      </c>
      <c r="DN7" s="254">
        <f ca="1">(((DM7/386.4)*(DH7^2+DI7^2))/8)</f>
        <v>0</v>
      </c>
      <c r="DO7" s="255">
        <f ca="1">Ratio</f>
        <v>11.111000000000001</v>
      </c>
      <c r="DP7" s="256">
        <f ca="1">(DN7/(DO7^2))</f>
        <v>0</v>
      </c>
      <c r="DR7" s="250"/>
      <c r="DS7" s="341">
        <v>7</v>
      </c>
      <c r="DT7" s="341">
        <v>0</v>
      </c>
      <c r="DU7" s="342">
        <f ca="1">IF(RollWidth="Y", 0, (VALUE(Width)+1.725)-(VALUE(Width)*0.5))</f>
        <v>0</v>
      </c>
      <c r="DV7" s="251">
        <v>0.28299999999999997</v>
      </c>
      <c r="DW7" s="252">
        <v>1</v>
      </c>
      <c r="DX7" s="340">
        <f ca="1">((PI()*DU7*DV7/4)*(DS7^2-DT7^2))*DW7</f>
        <v>0</v>
      </c>
      <c r="DY7" s="254">
        <f ca="1">(((DX7/386.4)*(DS7^2+DT7^2))/8)</f>
        <v>0</v>
      </c>
      <c r="DZ7" s="341">
        <f ca="1">Ratio</f>
        <v>11.111000000000001</v>
      </c>
      <c r="EA7" s="256">
        <f ca="1">(DY7/(DZ7^2))</f>
        <v>0</v>
      </c>
    </row>
    <row r="8" spans="1:131" ht="15.75" x14ac:dyDescent="0.25">
      <c r="A8" s="250" t="s">
        <v>580</v>
      </c>
      <c r="B8" s="251">
        <v>1</v>
      </c>
      <c r="C8" s="251">
        <v>0</v>
      </c>
      <c r="D8" s="251">
        <v>4.25</v>
      </c>
      <c r="E8" s="251">
        <v>0.28299999999999997</v>
      </c>
      <c r="F8" s="257">
        <v>1</v>
      </c>
      <c r="G8" s="253">
        <f>((PI()*D8*E8/4)*(B8^2-C8^2))*F8</f>
        <v>0.94463764102628089</v>
      </c>
      <c r="H8" s="254">
        <f>(((G8/386.4)*(B8^2+C8^2))/8)</f>
        <v>3.0558929898624515E-4</v>
      </c>
      <c r="I8" s="255">
        <f ca="1">Ratio</f>
        <v>11.111000000000001</v>
      </c>
      <c r="J8" s="256">
        <f ca="1">(H8/(I8^2))</f>
        <v>2.4753228279976131E-6</v>
      </c>
      <c r="L8" s="250" t="s">
        <v>580</v>
      </c>
      <c r="M8" s="251">
        <v>1</v>
      </c>
      <c r="N8" s="251">
        <v>0</v>
      </c>
      <c r="O8" s="251">
        <v>4.25</v>
      </c>
      <c r="P8" s="251">
        <v>0.28299999999999997</v>
      </c>
      <c r="Q8" s="257">
        <v>1</v>
      </c>
      <c r="R8" s="253">
        <f>((PI()*P8*O8/4)*(M8^2-N8^2))*Q8</f>
        <v>0.94463764102628078</v>
      </c>
      <c r="S8" s="254">
        <f>(((R8/386.4)*(M8^2+N8^2))/8)</f>
        <v>3.055892989862451E-4</v>
      </c>
      <c r="T8" s="255">
        <f ca="1">Ratio</f>
        <v>11.111000000000001</v>
      </c>
      <c r="U8" s="256">
        <f ca="1">(S8/(T8^2))</f>
        <v>2.4753228279976127E-6</v>
      </c>
      <c r="W8" s="250" t="s">
        <v>580</v>
      </c>
      <c r="X8" s="251">
        <v>1</v>
      </c>
      <c r="Y8" s="251">
        <v>0</v>
      </c>
      <c r="Z8" s="251">
        <v>4.25</v>
      </c>
      <c r="AA8" s="251">
        <v>0.28299999999999997</v>
      </c>
      <c r="AB8" s="257">
        <v>1</v>
      </c>
      <c r="AC8" s="253">
        <f>((PI()*Z8*AA8/4)*(X8^2-Y8^2))*AB8</f>
        <v>0.94463764102628089</v>
      </c>
      <c r="AD8" s="254">
        <f>(((AC8/386.4)*(X8^2+Y8^2))/8)</f>
        <v>3.0558929898624515E-4</v>
      </c>
      <c r="AE8" s="255">
        <f ca="1">Ratio</f>
        <v>11.111000000000001</v>
      </c>
      <c r="AF8" s="256">
        <f ca="1">(AD8/(AE8^2))</f>
        <v>2.4753228279976131E-6</v>
      </c>
      <c r="AH8" s="250" t="s">
        <v>580</v>
      </c>
      <c r="AI8" s="251">
        <v>1</v>
      </c>
      <c r="AJ8" s="251">
        <v>0</v>
      </c>
      <c r="AK8" s="251">
        <v>4.25</v>
      </c>
      <c r="AL8" s="251">
        <v>0.28299999999999997</v>
      </c>
      <c r="AM8" s="257">
        <v>1</v>
      </c>
      <c r="AN8" s="253">
        <f>((PI()*AK8*AL8/4)*(AI8^2-AJ8^2))*AM8</f>
        <v>0.94463764102628089</v>
      </c>
      <c r="AO8" s="254">
        <f>(((AN8/386.4)*(AI8^2+AJ8^2))/8)</f>
        <v>3.0558929898624515E-4</v>
      </c>
      <c r="AP8" s="255">
        <f ca="1">Ratio</f>
        <v>11.111000000000001</v>
      </c>
      <c r="AQ8" s="256">
        <f ca="1">(AO8/(AP8^2))</f>
        <v>2.4753228279976131E-6</v>
      </c>
      <c r="AS8" s="250" t="s">
        <v>581</v>
      </c>
      <c r="AT8" s="251">
        <v>2.63</v>
      </c>
      <c r="AU8" s="251">
        <v>0</v>
      </c>
      <c r="AV8" s="251">
        <f ca="1">IF(RollWidth="Y", 0, VALUE(Width)*0.5+1.99)</f>
        <v>0</v>
      </c>
      <c r="AW8" s="251">
        <v>0.28299999999999997</v>
      </c>
      <c r="AX8" s="257">
        <v>1</v>
      </c>
      <c r="AY8" s="253">
        <f ca="1">((PI()*AV8*AW8/4)*(AT8^2-AU8^2))*AX8</f>
        <v>0</v>
      </c>
      <c r="AZ8" s="254">
        <f ca="1">(((AY8/386.4)*(AT8^2+AU8^2))/8)</f>
        <v>0</v>
      </c>
      <c r="BA8" s="251">
        <f ca="1">Ratio</f>
        <v>11.111000000000001</v>
      </c>
      <c r="BB8" s="256">
        <f ca="1">(AZ8/(BA8^2))</f>
        <v>0</v>
      </c>
      <c r="BD8" s="250" t="s">
        <v>581</v>
      </c>
      <c r="BE8" s="251">
        <v>2.63</v>
      </c>
      <c r="BF8" s="251">
        <v>0</v>
      </c>
      <c r="BG8" s="251">
        <f ca="1">IF(RollWidth="Y", 0, VALUE(Width)*0.5+1.99)</f>
        <v>0</v>
      </c>
      <c r="BH8" s="251">
        <v>0.28299999999999997</v>
      </c>
      <c r="BI8" s="257">
        <v>1</v>
      </c>
      <c r="BJ8" s="253">
        <f ca="1">((PI()*BG8*BH8/4)*(BE8^2-BF8^2))*BI8</f>
        <v>0</v>
      </c>
      <c r="BK8" s="254">
        <f ca="1">(((BJ8/386.4)*(BE8^2+BF8^2))/8)</f>
        <v>0</v>
      </c>
      <c r="BL8" s="251">
        <f ca="1">Ratio</f>
        <v>11.111000000000001</v>
      </c>
      <c r="BM8" s="256">
        <f ca="1">(BK8/(BL8^2))</f>
        <v>0</v>
      </c>
      <c r="BO8" s="250" t="s">
        <v>581</v>
      </c>
      <c r="BP8" s="251">
        <v>3.63</v>
      </c>
      <c r="BQ8" s="251">
        <v>0</v>
      </c>
      <c r="BR8" s="251">
        <f ca="1">IF(RollWidth="Y", 0, VALUE(Width)*0.5+1.99)</f>
        <v>0</v>
      </c>
      <c r="BS8" s="251">
        <v>0.28299999999999997</v>
      </c>
      <c r="BT8" s="257">
        <v>1</v>
      </c>
      <c r="BU8" s="253">
        <f ca="1">((PI()*BR8*BS8/4)*(BP8^2-BQ8^2))*BT8</f>
        <v>0</v>
      </c>
      <c r="BV8" s="254">
        <f ca="1">(((BU8/386.4)*(BP8^2+BQ8^2))/8)</f>
        <v>0</v>
      </c>
      <c r="BW8" s="255">
        <f ca="1">Ratio</f>
        <v>11.111000000000001</v>
      </c>
      <c r="BX8" s="256">
        <f ca="1">(BV8/(BW8^2))</f>
        <v>0</v>
      </c>
      <c r="BZ8" s="250" t="s">
        <v>581</v>
      </c>
      <c r="CA8" s="251">
        <v>3.63</v>
      </c>
      <c r="CB8" s="251">
        <v>0</v>
      </c>
      <c r="CC8" s="251">
        <f ca="1">IF(RollWidth="Y", 0, VALUE(Width)*0.5+1.99)</f>
        <v>0</v>
      </c>
      <c r="CD8" s="251">
        <v>0.28299999999999997</v>
      </c>
      <c r="CE8" s="257">
        <v>1</v>
      </c>
      <c r="CF8" s="253">
        <f ca="1">((PI()*CC8*CD8/4)*(CA8^2-CB8^2))*CE8</f>
        <v>0</v>
      </c>
      <c r="CG8" s="254">
        <f ca="1">(((CF8/386.4)*(CA8^2+CB8^2))/8)</f>
        <v>0</v>
      </c>
      <c r="CH8" s="255">
        <f ca="1">Ratio</f>
        <v>11.111000000000001</v>
      </c>
      <c r="CI8" s="256">
        <f ca="1">(CG8/(CH8^2))</f>
        <v>0</v>
      </c>
      <c r="CK8" s="250" t="s">
        <v>581</v>
      </c>
      <c r="CL8" s="251">
        <v>4</v>
      </c>
      <c r="CM8" s="251">
        <v>0</v>
      </c>
      <c r="CN8" s="251">
        <f ca="1">IF(RollWidth="Y", 0, VALUE(Width)*0.5+1.99)</f>
        <v>0</v>
      </c>
      <c r="CO8" s="251">
        <v>0.28299999999999997</v>
      </c>
      <c r="CP8" s="257">
        <v>1</v>
      </c>
      <c r="CQ8" s="253">
        <f ca="1">((PI()*CN8*CO8/4)*(CL8^2-CM8^2))*CP8</f>
        <v>0</v>
      </c>
      <c r="CR8" s="254">
        <f ca="1">(((CQ8/386.4)*(CL8^2+CM8^2))/8)</f>
        <v>0</v>
      </c>
      <c r="CS8" s="255">
        <f ca="1">Ratio</f>
        <v>11.111000000000001</v>
      </c>
      <c r="CT8" s="256">
        <f ca="1">(CR8/(CS8^2))</f>
        <v>0</v>
      </c>
      <c r="CV8" s="250" t="s">
        <v>580</v>
      </c>
      <c r="CW8" s="255">
        <v>2.7549999999999999</v>
      </c>
      <c r="CX8" s="339">
        <v>0</v>
      </c>
      <c r="CY8" s="339">
        <v>4.6500000000000004</v>
      </c>
      <c r="CZ8" s="251">
        <v>0.28299999999999997</v>
      </c>
      <c r="DA8" s="257">
        <v>1</v>
      </c>
      <c r="DB8" s="340">
        <f>((PI()*CY8*CZ8/4)*(CW8^2-CX8^2))*DA8</f>
        <v>7.8446302112204274</v>
      </c>
      <c r="DC8" s="254">
        <f>(((DB8/386.4)*(CW8^2+CX8^2))/8)</f>
        <v>1.9261432265436831E-2</v>
      </c>
      <c r="DD8" s="255">
        <f ca="1">Ratio</f>
        <v>11.111000000000001</v>
      </c>
      <c r="DE8" s="256">
        <f ca="1">(DC8/(DD8^2))</f>
        <v>1.5602072174887121E-4</v>
      </c>
      <c r="DG8" s="250" t="s">
        <v>580</v>
      </c>
      <c r="DH8" s="339">
        <v>2.75</v>
      </c>
      <c r="DI8" s="339">
        <v>0</v>
      </c>
      <c r="DJ8" s="339">
        <v>4.6500000000000004</v>
      </c>
      <c r="DK8" s="254">
        <v>0.28299999999999997</v>
      </c>
      <c r="DL8" s="257">
        <v>1</v>
      </c>
      <c r="DM8" s="340">
        <f>((PI()*DJ8*DK8/4)*(DH8^2-DI8^2))*DL8</f>
        <v>7.8161818929917199</v>
      </c>
      <c r="DN8" s="254">
        <f>(((DM8/386.4)*(DH8^2+DI8^2))/8)</f>
        <v>1.9121983555172712E-2</v>
      </c>
      <c r="DO8" s="255">
        <f ca="1">Ratio</f>
        <v>11.111000000000001</v>
      </c>
      <c r="DP8" s="256">
        <f ca="1">(DN8/(DO8^2))</f>
        <v>1.5489116460470193E-4</v>
      </c>
      <c r="DR8" s="250" t="s">
        <v>580</v>
      </c>
      <c r="DS8" s="341">
        <v>3.54</v>
      </c>
      <c r="DT8" s="341">
        <v>0</v>
      </c>
      <c r="DU8" s="342">
        <v>5</v>
      </c>
      <c r="DV8" s="251">
        <v>0.28299999999999997</v>
      </c>
      <c r="DW8" s="257">
        <v>1</v>
      </c>
      <c r="DX8" s="340">
        <f>((PI()*DU8*DV8/4)*(DS8^2-DT8^2))*DW8</f>
        <v>13.92684830857052</v>
      </c>
      <c r="DY8" s="254">
        <f>(((DX8/386.4)*(DS8^2+DT8^2))/8)</f>
        <v>5.6458880778882746E-2</v>
      </c>
      <c r="DZ8" s="341">
        <f ca="1">Ratio</f>
        <v>11.111000000000001</v>
      </c>
      <c r="EA8" s="256">
        <f ca="1">(DY8/(DZ8^2))</f>
        <v>4.5732608078483323E-4</v>
      </c>
    </row>
    <row r="9" spans="1:131" ht="15.75" x14ac:dyDescent="0.25">
      <c r="A9" s="250"/>
      <c r="B9" s="251"/>
      <c r="C9" s="251"/>
      <c r="D9" s="251"/>
      <c r="E9" s="251"/>
      <c r="F9" s="245"/>
      <c r="G9" s="253"/>
      <c r="H9" s="254"/>
      <c r="I9" s="255"/>
      <c r="J9" s="256"/>
      <c r="L9" s="250"/>
      <c r="M9" s="251"/>
      <c r="N9" s="251"/>
      <c r="O9" s="251"/>
      <c r="P9" s="251"/>
      <c r="Q9" s="245"/>
      <c r="R9" s="253"/>
      <c r="S9" s="254"/>
      <c r="T9" s="255"/>
      <c r="U9" s="256"/>
      <c r="W9" s="250"/>
      <c r="X9" s="251"/>
      <c r="Y9" s="251"/>
      <c r="Z9" s="251"/>
      <c r="AA9" s="251"/>
      <c r="AB9" s="245"/>
      <c r="AC9" s="253"/>
      <c r="AD9" s="254"/>
      <c r="AE9" s="255"/>
      <c r="AF9" s="256"/>
      <c r="AH9" s="250"/>
      <c r="AI9" s="251"/>
      <c r="AJ9" s="251"/>
      <c r="AK9" s="251"/>
      <c r="AL9" s="251"/>
      <c r="AM9" s="245"/>
      <c r="AN9" s="253"/>
      <c r="AO9" s="254"/>
      <c r="AP9" s="245"/>
      <c r="AQ9" s="245"/>
      <c r="AS9" s="250" t="s">
        <v>580</v>
      </c>
      <c r="AT9" s="251">
        <v>1.5745</v>
      </c>
      <c r="AU9" s="251">
        <v>0</v>
      </c>
      <c r="AV9" s="251">
        <v>6.14</v>
      </c>
      <c r="AW9" s="251">
        <v>0.28299999999999997</v>
      </c>
      <c r="AX9" s="257">
        <v>1</v>
      </c>
      <c r="AY9" s="253">
        <f>((PI()*AV9*AW9/4)*(AT9^2-AU9^2))*AX9</f>
        <v>3.3832182743750723</v>
      </c>
      <c r="AZ9" s="254">
        <f>(((AY9/386.4)*(AT9^2+AU9^2))/8)</f>
        <v>2.7132402008585963E-3</v>
      </c>
      <c r="BA9" s="251">
        <f ca="1">Ratio</f>
        <v>11.111000000000001</v>
      </c>
      <c r="BB9" s="256">
        <f ca="1">(AZ9/(BA9^2))</f>
        <v>2.1977685178460427E-5</v>
      </c>
      <c r="BD9" s="250" t="s">
        <v>580</v>
      </c>
      <c r="BE9" s="251">
        <v>1.5745</v>
      </c>
      <c r="BF9" s="251">
        <v>0</v>
      </c>
      <c r="BG9" s="251">
        <v>6.14</v>
      </c>
      <c r="BH9" s="251">
        <v>0.28299999999999997</v>
      </c>
      <c r="BI9" s="257">
        <v>1</v>
      </c>
      <c r="BJ9" s="253">
        <f>((PI()*BG9*BH9/4)*(BE9^2-BF9^2))*BI9</f>
        <v>3.3832182743750723</v>
      </c>
      <c r="BK9" s="254">
        <f>(((BJ9/386.4)*(BE9^2+BF9^2))/8)</f>
        <v>2.7132402008585963E-3</v>
      </c>
      <c r="BL9" s="251">
        <f ca="1">Ratio</f>
        <v>11.111000000000001</v>
      </c>
      <c r="BM9" s="256">
        <f ca="1">(BK9/(BL9^2))</f>
        <v>2.1977685178460427E-5</v>
      </c>
      <c r="BO9" s="250" t="s">
        <v>580</v>
      </c>
      <c r="BP9" s="251">
        <v>2.165</v>
      </c>
      <c r="BQ9" s="251">
        <v>0</v>
      </c>
      <c r="BR9" s="251">
        <v>7.01</v>
      </c>
      <c r="BS9" s="251">
        <v>0.28299999999999997</v>
      </c>
      <c r="BT9" s="257">
        <v>1</v>
      </c>
      <c r="BU9" s="253">
        <f>((PI()*BR9*BS9/4)*(BP9^2-BQ9^2))*BT9</f>
        <v>7.3031485789142243</v>
      </c>
      <c r="BV9" s="254">
        <f>(((BU9/386.4)*(BP9^2+BQ9^2))/8)</f>
        <v>1.1073855007052675E-2</v>
      </c>
      <c r="BW9" s="255">
        <f ca="1">Ratio</f>
        <v>11.111000000000001</v>
      </c>
      <c r="BX9" s="256">
        <f ca="1">(BV9/(BW9^2))</f>
        <v>8.9700019548547621E-5</v>
      </c>
      <c r="BZ9" s="250" t="s">
        <v>580</v>
      </c>
      <c r="CA9" s="251">
        <v>2.165</v>
      </c>
      <c r="CB9" s="251">
        <v>0</v>
      </c>
      <c r="CC9" s="251">
        <v>7.01</v>
      </c>
      <c r="CD9" s="251">
        <v>0.28299999999999997</v>
      </c>
      <c r="CE9" s="257">
        <v>1</v>
      </c>
      <c r="CF9" s="253">
        <f>((PI()*CC9*CD9/4)*(CA9^2-CB9^2))*CE9</f>
        <v>7.3031485789142243</v>
      </c>
      <c r="CG9" s="254">
        <f>(((CF9/386.4)*(CA9^2+CB9^2))/8)</f>
        <v>1.1073855007052675E-2</v>
      </c>
      <c r="CH9" s="255">
        <f ca="1">Ratio</f>
        <v>11.111000000000001</v>
      </c>
      <c r="CI9" s="256">
        <f ca="1">(CG9/(CH9^2))</f>
        <v>8.9700019548547621E-5</v>
      </c>
      <c r="CK9" s="250" t="s">
        <v>580</v>
      </c>
      <c r="CL9" s="251">
        <v>2.165</v>
      </c>
      <c r="CM9" s="251">
        <v>0</v>
      </c>
      <c r="CN9" s="251">
        <v>8.18</v>
      </c>
      <c r="CO9" s="251">
        <v>0.28299999999999997</v>
      </c>
      <c r="CP9" s="257">
        <v>1</v>
      </c>
      <c r="CQ9" s="253">
        <f>((PI()*CN9*CO9/4)*(CL9^2-CM9^2))*CP9</f>
        <v>8.522076373112462</v>
      </c>
      <c r="CR9" s="254">
        <f>(((CQ9/386.4)*(CL9^2+CM9^2))/8)</f>
        <v>1.2922130379128512E-2</v>
      </c>
      <c r="CS9" s="255">
        <f ca="1">Ratio</f>
        <v>11.111000000000001</v>
      </c>
      <c r="CT9" s="256">
        <f ca="1">(CR9/(CS9^2))</f>
        <v>1.0467134948746355E-4</v>
      </c>
      <c r="CV9" s="250"/>
      <c r="CW9" s="255">
        <v>2</v>
      </c>
      <c r="CX9" s="339">
        <v>0</v>
      </c>
      <c r="CY9" s="339">
        <v>3.52</v>
      </c>
      <c r="CZ9" s="251">
        <v>0.28299999999999997</v>
      </c>
      <c r="DA9" s="257">
        <v>1</v>
      </c>
      <c r="DB9" s="340">
        <f>((PI()*CY9*CZ9/4)*(CW9^2-CX9^2))*DA9</f>
        <v>3.129528937800008</v>
      </c>
      <c r="DC9" s="254">
        <f>(((DB9/386.4)*(CW9^2+CX9^2))/8)</f>
        <v>4.0495974868012524E-3</v>
      </c>
      <c r="DD9" s="255">
        <f ca="1">Ratio</f>
        <v>11.111000000000001</v>
      </c>
      <c r="DE9" s="256">
        <f ca="1">(DC9/(DD9^2))</f>
        <v>3.280239568772365E-5</v>
      </c>
      <c r="DG9" s="250"/>
      <c r="DH9" s="339">
        <v>2</v>
      </c>
      <c r="DI9" s="339">
        <v>0</v>
      </c>
      <c r="DJ9" s="339">
        <v>3.52</v>
      </c>
      <c r="DK9" s="254">
        <v>0.28299999999999997</v>
      </c>
      <c r="DL9" s="257">
        <v>1</v>
      </c>
      <c r="DM9" s="340">
        <f>((PI()*DJ9*DK9/4)*(DH9^2-DI9^2))*DL9</f>
        <v>3.129528937800008</v>
      </c>
      <c r="DN9" s="254">
        <f>(((DM9/386.4)*(DH9^2+DI9^2))/8)</f>
        <v>4.0495974868012524E-3</v>
      </c>
      <c r="DO9" s="255">
        <f ca="1">Ratio</f>
        <v>11.111000000000001</v>
      </c>
      <c r="DP9" s="256">
        <f ca="1">(DN9/(DO9^2))</f>
        <v>3.280239568772365E-5</v>
      </c>
      <c r="DR9" s="250"/>
      <c r="DS9" s="341">
        <v>2</v>
      </c>
      <c r="DT9" s="341">
        <v>0</v>
      </c>
      <c r="DU9" s="258">
        <v>3.52</v>
      </c>
      <c r="DV9" s="251">
        <v>0.28299999999999997</v>
      </c>
      <c r="DW9" s="257">
        <v>1</v>
      </c>
      <c r="DX9" s="340">
        <f>((PI()*DU9*DV9/4)*(DS9^2-DT9^2))*DW9</f>
        <v>3.129528937800008</v>
      </c>
      <c r="DY9" s="254">
        <f>(((DX9/386.4)*(DS9^2+DT9^2))/8)</f>
        <v>4.0495974868012524E-3</v>
      </c>
      <c r="DZ9" s="341">
        <f ca="1">Ratio</f>
        <v>11.111000000000001</v>
      </c>
      <c r="EA9" s="256">
        <f ca="1">(DY9/(DZ9^2))</f>
        <v>3.280239568772365E-5</v>
      </c>
    </row>
    <row r="10" spans="1:131" ht="15.75" x14ac:dyDescent="0.25">
      <c r="A10" s="250" t="s">
        <v>582</v>
      </c>
      <c r="B10" s="251">
        <v>2.25</v>
      </c>
      <c r="C10" s="251">
        <v>0</v>
      </c>
      <c r="D10" s="251">
        <f ca="1">VALUE(Width)+2.5</f>
        <v>44.5</v>
      </c>
      <c r="E10" s="251">
        <v>0.28299999999999997</v>
      </c>
      <c r="F10" s="257">
        <v>1</v>
      </c>
      <c r="G10" s="253">
        <f ca="1">((PI()*D10*E10/4)*(B10^2-C10^2))*F10</f>
        <v>50.072740839400439</v>
      </c>
      <c r="H10" s="254">
        <f ca="1">(((G10/386.4)*(B10^2+C10^2))/8)</f>
        <v>8.2004804121203659E-2</v>
      </c>
      <c r="I10" s="255">
        <f ca="1">Ratio</f>
        <v>11.111000000000001</v>
      </c>
      <c r="J10" s="256">
        <f ca="1">(H10/(I10^2))</f>
        <v>6.642521983592915E-4</v>
      </c>
      <c r="L10" s="250" t="s">
        <v>582</v>
      </c>
      <c r="M10" s="251">
        <v>2.25</v>
      </c>
      <c r="N10" s="251">
        <v>0</v>
      </c>
      <c r="O10" s="251">
        <f ca="1">VALUE(Width)+2.5</f>
        <v>44.5</v>
      </c>
      <c r="P10" s="251">
        <v>0.28299999999999997</v>
      </c>
      <c r="Q10" s="257">
        <v>1</v>
      </c>
      <c r="R10" s="253">
        <f ca="1">((PI()*P10*O10/4)*(M10^2-N10^2))*Q10</f>
        <v>50.072740839400424</v>
      </c>
      <c r="S10" s="254">
        <f ca="1">(((R10/386.4)*(M10^2+N10^2))/8)</f>
        <v>8.2004804121203631E-2</v>
      </c>
      <c r="T10" s="255">
        <f ca="1">Ratio</f>
        <v>11.111000000000001</v>
      </c>
      <c r="U10" s="256">
        <f ca="1">(S10/(T10^2))</f>
        <v>6.6425219835929128E-4</v>
      </c>
      <c r="W10" s="250" t="s">
        <v>582</v>
      </c>
      <c r="X10" s="251">
        <v>2.625</v>
      </c>
      <c r="Y10" s="251">
        <v>0</v>
      </c>
      <c r="Z10" s="251">
        <f ca="1">VALUE(Width)+2.5</f>
        <v>44.5</v>
      </c>
      <c r="AA10" s="251">
        <v>0.28299999999999997</v>
      </c>
      <c r="AB10" s="257">
        <v>1</v>
      </c>
      <c r="AC10" s="253">
        <f ca="1">((PI()*Z10*AA10/4)*(X10^2-Y10^2))*AB10</f>
        <v>68.154563920295033</v>
      </c>
      <c r="AD10" s="254">
        <f ca="1">(((AC10/386.4)*(X10^2+Y10^2))/8)</f>
        <v>0.15192402368442126</v>
      </c>
      <c r="AE10" s="255">
        <f ca="1">Ratio</f>
        <v>11.111000000000001</v>
      </c>
      <c r="AF10" s="256">
        <f ca="1">(AD10/(AE10^2))</f>
        <v>1.2306092039048291E-3</v>
      </c>
      <c r="AH10" s="250" t="s">
        <v>582</v>
      </c>
      <c r="AI10" s="251">
        <v>2.625</v>
      </c>
      <c r="AJ10" s="251">
        <v>0</v>
      </c>
      <c r="AK10" s="251">
        <f ca="1">VALUE(Width)+2.5</f>
        <v>44.5</v>
      </c>
      <c r="AL10" s="251">
        <v>0.28299999999999997</v>
      </c>
      <c r="AM10" s="257">
        <v>1</v>
      </c>
      <c r="AN10" s="253">
        <f ca="1">((PI()*AK10*AL10/4)*(AI10^2-AJ10^2))*AM10</f>
        <v>68.154563920295033</v>
      </c>
      <c r="AO10" s="254">
        <f ca="1">(((AN10/386.4)*(AI10^2+AJ10^2))/8)</f>
        <v>0.15192402368442126</v>
      </c>
      <c r="AP10" s="255">
        <f ca="1">Ratio</f>
        <v>11.111000000000001</v>
      </c>
      <c r="AQ10" s="256">
        <f ca="1">(AO10/(AP10^2))</f>
        <v>1.2306092039048291E-3</v>
      </c>
      <c r="AS10" s="250"/>
      <c r="AT10" s="251"/>
      <c r="AU10" s="251"/>
      <c r="AV10" s="251"/>
      <c r="AW10" s="251"/>
      <c r="AX10" s="245"/>
      <c r="AY10" s="253"/>
      <c r="AZ10" s="254"/>
      <c r="BA10" s="251"/>
      <c r="BB10" s="256"/>
      <c r="BD10" s="250"/>
      <c r="BE10" s="251"/>
      <c r="BF10" s="251"/>
      <c r="BG10" s="251"/>
      <c r="BH10" s="251"/>
      <c r="BI10" s="245"/>
      <c r="BJ10" s="253"/>
      <c r="BK10" s="254"/>
      <c r="BL10" s="251"/>
      <c r="BM10" s="245"/>
      <c r="BO10" s="250"/>
      <c r="BP10" s="251"/>
      <c r="BQ10" s="251"/>
      <c r="BR10" s="251"/>
      <c r="BS10" s="251"/>
      <c r="BT10" s="245"/>
      <c r="BU10" s="253"/>
      <c r="BV10" s="254"/>
      <c r="BW10" s="245"/>
      <c r="BX10" s="245"/>
      <c r="BZ10" s="250"/>
      <c r="CA10" s="251"/>
      <c r="CB10" s="251"/>
      <c r="CC10" s="251"/>
      <c r="CD10" s="251"/>
      <c r="CE10" s="245"/>
      <c r="CF10" s="253"/>
      <c r="CG10" s="254"/>
      <c r="CH10" s="245"/>
      <c r="CI10" s="245"/>
      <c r="CK10" s="250"/>
      <c r="CL10" s="251"/>
      <c r="CM10" s="251"/>
      <c r="CN10" s="251"/>
      <c r="CO10" s="251"/>
      <c r="CP10" s="245"/>
      <c r="CQ10" s="253"/>
      <c r="CR10" s="254"/>
      <c r="CS10" s="245"/>
      <c r="CT10" s="245"/>
      <c r="CV10" s="250"/>
      <c r="CW10" s="245"/>
      <c r="CX10" s="339"/>
      <c r="CY10" s="339"/>
      <c r="CZ10" s="245"/>
      <c r="DA10" s="245"/>
      <c r="DB10" s="340"/>
      <c r="DC10" s="254"/>
      <c r="DD10" s="255"/>
      <c r="DE10" s="256"/>
      <c r="DG10" s="250"/>
      <c r="DH10" s="339"/>
      <c r="DI10" s="339"/>
      <c r="DJ10" s="339"/>
      <c r="DK10" s="254"/>
      <c r="DL10" s="245"/>
      <c r="DM10" s="340"/>
      <c r="DN10" s="254"/>
      <c r="DO10" s="255"/>
      <c r="DP10" s="256"/>
      <c r="DR10" s="250"/>
      <c r="DS10" s="258"/>
      <c r="DT10" s="258"/>
      <c r="DU10" s="258"/>
      <c r="DV10" s="245"/>
      <c r="DW10" s="245"/>
      <c r="DX10" s="340"/>
      <c r="DY10" s="254"/>
      <c r="DZ10" s="341"/>
      <c r="EA10" s="256"/>
    </row>
    <row r="11" spans="1:131" ht="15.75" x14ac:dyDescent="0.25">
      <c r="A11" s="250" t="s">
        <v>580</v>
      </c>
      <c r="B11" s="251">
        <v>1</v>
      </c>
      <c r="C11" s="251">
        <v>0</v>
      </c>
      <c r="D11" s="251">
        <v>5.5</v>
      </c>
      <c r="E11" s="251">
        <v>0.28299999999999997</v>
      </c>
      <c r="F11" s="257">
        <v>1</v>
      </c>
      <c r="G11" s="253">
        <f>((PI()*D11*E11/4)*(B11^2-C11^2))*F11</f>
        <v>1.2224722413281279</v>
      </c>
      <c r="H11" s="254">
        <f>(((G11/386.4)*(B11^2+C11^2))/8)</f>
        <v>3.9546850457043481E-4</v>
      </c>
      <c r="I11" s="255">
        <f ca="1">Ratio</f>
        <v>11.111000000000001</v>
      </c>
      <c r="J11" s="256">
        <f ca="1">(H11/(I11^2))</f>
        <v>3.2033589538792632E-6</v>
      </c>
      <c r="L11" s="250" t="s">
        <v>580</v>
      </c>
      <c r="M11" s="251">
        <v>1</v>
      </c>
      <c r="N11" s="251">
        <v>0</v>
      </c>
      <c r="O11" s="251">
        <v>5.5</v>
      </c>
      <c r="P11" s="251">
        <v>0.28299999999999997</v>
      </c>
      <c r="Q11" s="257">
        <v>1</v>
      </c>
      <c r="R11" s="253">
        <f>((PI()*P11*O11/4)*(M11^2-N11^2))*Q11</f>
        <v>1.2224722413281282</v>
      </c>
      <c r="S11" s="254">
        <f>(((R11/386.4)*(M11^2+N11^2))/8)</f>
        <v>3.9546850457043486E-4</v>
      </c>
      <c r="T11" s="255">
        <f ca="1">Ratio</f>
        <v>11.111000000000001</v>
      </c>
      <c r="U11" s="256">
        <f ca="1">(S11/(T11^2))</f>
        <v>3.2033589538792636E-6</v>
      </c>
      <c r="W11" s="250" t="s">
        <v>580</v>
      </c>
      <c r="X11" s="251">
        <v>1</v>
      </c>
      <c r="Y11" s="251">
        <v>0</v>
      </c>
      <c r="Z11" s="251">
        <v>5.5</v>
      </c>
      <c r="AA11" s="251">
        <v>0.28299999999999997</v>
      </c>
      <c r="AB11" s="257">
        <v>1</v>
      </c>
      <c r="AC11" s="253">
        <f>((PI()*Z11*AA11/4)*(X11^2-Y11^2))*AB11</f>
        <v>1.2224722413281279</v>
      </c>
      <c r="AD11" s="254">
        <f>(((AC11/386.4)*(X11^2+Y11^2))/8)</f>
        <v>3.9546850457043481E-4</v>
      </c>
      <c r="AE11" s="255">
        <f ca="1">Ratio</f>
        <v>11.111000000000001</v>
      </c>
      <c r="AF11" s="256">
        <f ca="1">(AD11/(AE11^2))</f>
        <v>3.2033589538792632E-6</v>
      </c>
      <c r="AH11" s="250" t="s">
        <v>580</v>
      </c>
      <c r="AI11" s="251">
        <v>1</v>
      </c>
      <c r="AJ11" s="251">
        <v>0</v>
      </c>
      <c r="AK11" s="251">
        <v>5.5</v>
      </c>
      <c r="AL11" s="251">
        <v>0.28299999999999997</v>
      </c>
      <c r="AM11" s="257">
        <v>1</v>
      </c>
      <c r="AN11" s="253">
        <f>((PI()*AK11*AL11/4)*(AI11^2-AJ11^2))*AM11</f>
        <v>1.2224722413281279</v>
      </c>
      <c r="AO11" s="254">
        <f>(((AN11/386.4)*(AI11^2+AJ11^2))/8)</f>
        <v>3.9546850457043481E-4</v>
      </c>
      <c r="AP11" s="255">
        <f ca="1">Ratio</f>
        <v>11.111000000000001</v>
      </c>
      <c r="AQ11" s="256">
        <f ca="1">(AO11/(AP11^2))</f>
        <v>3.2033589538792632E-6</v>
      </c>
      <c r="AS11" s="250" t="s">
        <v>583</v>
      </c>
      <c r="AT11" s="251">
        <v>3</v>
      </c>
      <c r="AU11" s="251">
        <v>0</v>
      </c>
      <c r="AV11" s="251">
        <f ca="1">IF( RollWidth="Y",VALUE(Width) + 0.5,VALUE(Width)*0.5)</f>
        <v>42.5</v>
      </c>
      <c r="AW11" s="251">
        <v>0.28299999999999997</v>
      </c>
      <c r="AX11" s="257">
        <v>1</v>
      </c>
      <c r="AY11" s="253">
        <f ca="1">((PI()*AV11*AW11/4)*(AT11^2-AU11^2))*AX11</f>
        <v>85.017387692365276</v>
      </c>
      <c r="AZ11" s="254">
        <f ca="1">(((AY11/386.4)*(AT11^2+AU11^2))/8)</f>
        <v>0.24752733217885853</v>
      </c>
      <c r="BA11" s="251">
        <f ca="1">Ratio</f>
        <v>11.111000000000001</v>
      </c>
      <c r="BB11" s="256">
        <f ca="1">(AZ11/(BA11^2))</f>
        <v>2.005011490678066E-3</v>
      </c>
      <c r="BD11" s="250" t="s">
        <v>583</v>
      </c>
      <c r="BE11" s="251">
        <v>3</v>
      </c>
      <c r="BF11" s="251">
        <v>0</v>
      </c>
      <c r="BG11" s="251">
        <f ca="1">IF( RollWidth="Y",VALUE(Width) + 0.5,VALUE(Width)*0.5)</f>
        <v>42.5</v>
      </c>
      <c r="BH11" s="251">
        <v>0.28299999999999997</v>
      </c>
      <c r="BI11" s="257">
        <v>1</v>
      </c>
      <c r="BJ11" s="253">
        <f ca="1">((PI()*BG11*BH11/4)*(BE11^2-BF11^2))*BI11</f>
        <v>85.017387692365276</v>
      </c>
      <c r="BK11" s="254">
        <f ca="1">(((BJ11/386.4)*(BE11^2+BF11^2))/8)</f>
        <v>0.24752733217885853</v>
      </c>
      <c r="BL11" s="251">
        <f ca="1">Ratio</f>
        <v>11.111000000000001</v>
      </c>
      <c r="BM11" s="256">
        <f ca="1">(BK11/(BL11^2))</f>
        <v>2.005011490678066E-3</v>
      </c>
      <c r="BO11" s="250" t="s">
        <v>583</v>
      </c>
      <c r="BP11" s="251">
        <v>4</v>
      </c>
      <c r="BQ11" s="251">
        <v>0</v>
      </c>
      <c r="BR11" s="251">
        <f ca="1">IF( RollWidth="Y",VALUE(Width) + 0.5,VALUE(Width)*0.5)</f>
        <v>42.5</v>
      </c>
      <c r="BS11" s="251">
        <v>0.28299999999999997</v>
      </c>
      <c r="BT11" s="257">
        <v>1</v>
      </c>
      <c r="BU11" s="253">
        <f ca="1">((PI()*BR11*BS11/4)*(BP11^2-BQ11^2))*BT11</f>
        <v>151.14202256420492</v>
      </c>
      <c r="BV11" s="254">
        <f ca="1">(((BU11/386.4)*(BP11^2+BQ11^2))/8)</f>
        <v>0.78230860540478742</v>
      </c>
      <c r="BW11" s="255">
        <f ca="1">Ratio</f>
        <v>11.111000000000001</v>
      </c>
      <c r="BX11" s="256">
        <f ca="1">(BV11/(BW11^2))</f>
        <v>6.3368264396738878E-3</v>
      </c>
      <c r="BZ11" s="250" t="s">
        <v>583</v>
      </c>
      <c r="CA11" s="251">
        <v>4</v>
      </c>
      <c r="CB11" s="251">
        <v>0</v>
      </c>
      <c r="CC11" s="251">
        <f ca="1">IF( RollWidth="Y",VALUE(Width) + 0.5,VALUE(Width)*0.5)</f>
        <v>42.5</v>
      </c>
      <c r="CD11" s="251">
        <v>0.28299999999999997</v>
      </c>
      <c r="CE11" s="257">
        <v>1</v>
      </c>
      <c r="CF11" s="253">
        <f ca="1">((PI()*CC11*CD11/4)*(CA11^2-CB11^2))*CE11</f>
        <v>151.14202256420492</v>
      </c>
      <c r="CG11" s="254">
        <f ca="1">(((CF11/386.4)*(CA11^2+CB11^2))/8)</f>
        <v>0.78230860540478742</v>
      </c>
      <c r="CH11" s="255">
        <f ca="1">Ratio</f>
        <v>11.111000000000001</v>
      </c>
      <c r="CI11" s="256">
        <f ca="1">(CG11/(CH11^2))</f>
        <v>6.3368264396738878E-3</v>
      </c>
      <c r="CK11" s="250" t="s">
        <v>583</v>
      </c>
      <c r="CL11" s="251">
        <v>5</v>
      </c>
      <c r="CM11" s="251">
        <v>0</v>
      </c>
      <c r="CN11" s="251">
        <f ca="1">IF( RollWidth="Y",VALUE(Width) + 1,VALUE(Width)*0.5)</f>
        <v>43</v>
      </c>
      <c r="CO11" s="251">
        <v>0.28299999999999997</v>
      </c>
      <c r="CP11" s="257">
        <v>1</v>
      </c>
      <c r="CQ11" s="253">
        <f ca="1">((PI()*CN11*CO11/4)*(CL11^2-CM11^2))*CP11</f>
        <v>238.9377562595887</v>
      </c>
      <c r="CR11" s="254">
        <f ca="1">(((CQ11/386.4)*(CL11^2+CM11^2))/8)</f>
        <v>1.9324029200600796</v>
      </c>
      <c r="CS11" s="255">
        <f ca="1">Ratio</f>
        <v>11.111000000000001</v>
      </c>
      <c r="CT11" s="256">
        <f ca="1">(CR11/(CS11^2))</f>
        <v>1.5652776706455495E-2</v>
      </c>
      <c r="CV11" s="250" t="s">
        <v>582</v>
      </c>
      <c r="CW11" s="255">
        <v>6</v>
      </c>
      <c r="CX11" s="339">
        <v>0</v>
      </c>
      <c r="CY11" s="339">
        <f ca="1">IF(RollWidth="Y",VALUE(Width)+1,VALUE(Width)*0.5)</f>
        <v>43</v>
      </c>
      <c r="CZ11" s="251">
        <v>0.28299999999999997</v>
      </c>
      <c r="DA11" s="257">
        <v>1</v>
      </c>
      <c r="DB11" s="340">
        <f ca="1">((PI()*CY11*CZ11/4)*(CW11^2-CX11^2))*DA11</f>
        <v>344.07036901380769</v>
      </c>
      <c r="DC11" s="254">
        <f ca="1">(((DB11/386.4)*(CW11^2+CX11^2))/8)</f>
        <v>4.0070306950365806</v>
      </c>
      <c r="DD11" s="255">
        <f ca="1">Ratio</f>
        <v>11.111000000000001</v>
      </c>
      <c r="DE11" s="256">
        <f ca="1">(DC11/(DD11^2))</f>
        <v>3.2457597778506105E-2</v>
      </c>
      <c r="DG11" s="250" t="s">
        <v>582</v>
      </c>
      <c r="DH11" s="339">
        <v>7</v>
      </c>
      <c r="DI11" s="339">
        <v>0</v>
      </c>
      <c r="DJ11" s="339">
        <f ca="1">IF(RollWidth="Y",VALUE(Width)+1,VALUE(Width)*0.5)</f>
        <v>43</v>
      </c>
      <c r="DK11" s="254">
        <v>0.28299999999999997</v>
      </c>
      <c r="DL11" s="257">
        <v>1</v>
      </c>
      <c r="DM11" s="340">
        <f ca="1">((PI()*DJ11*DK11/4)*(DH11^2-DI11^2))*DL11</f>
        <v>468.3180022687938</v>
      </c>
      <c r="DN11" s="254">
        <f ca="1">(((DM11/386.4)*(DH11^2+DI11^2))/8)</f>
        <v>7.4235190577028014</v>
      </c>
      <c r="DO11" s="255">
        <f ca="1">Ratio</f>
        <v>11.111000000000001</v>
      </c>
      <c r="DP11" s="256">
        <f ca="1">(DN11/(DO11^2))</f>
        <v>6.0131706995519424E-2</v>
      </c>
      <c r="DR11" s="250" t="s">
        <v>582</v>
      </c>
      <c r="DS11" s="341">
        <v>8</v>
      </c>
      <c r="DT11" s="341">
        <v>0</v>
      </c>
      <c r="DU11" s="342">
        <f ca="1">IF(RollWidth="Y",VALUE(Width)+1,VALUE(Width)*0.5)</f>
        <v>43</v>
      </c>
      <c r="DV11" s="251">
        <v>0.28299999999999997</v>
      </c>
      <c r="DW11" s="257">
        <v>1</v>
      </c>
      <c r="DX11" s="340">
        <f t="shared" ref="DX11:DX16" ca="1" si="0">((PI()*DU11*DV11/4)*(DS11^2-DT11^2))*DW11</f>
        <v>611.68065602454703</v>
      </c>
      <c r="DY11" s="254">
        <f t="shared" ref="DY11:DY16" ca="1" si="1">(((DX11/386.4)*(DS11^2+DT11^2))/8)</f>
        <v>12.664195776905736</v>
      </c>
      <c r="DZ11" s="341">
        <f t="shared" ref="DZ11:DZ16" ca="1" si="2">Ratio</f>
        <v>11.111000000000001</v>
      </c>
      <c r="EA11" s="256">
        <f t="shared" ref="EA11:EA16" ca="1" si="3">(DY11/(DZ11^2))</f>
        <v>0.10258203742342671</v>
      </c>
    </row>
    <row r="12" spans="1:131" ht="15.75" x14ac:dyDescent="0.25">
      <c r="A12" s="250"/>
      <c r="B12" s="251"/>
      <c r="C12" s="251"/>
      <c r="D12" s="251"/>
      <c r="E12" s="251"/>
      <c r="F12" s="245"/>
      <c r="G12" s="253"/>
      <c r="H12" s="254"/>
      <c r="I12" s="245"/>
      <c r="J12" s="256"/>
      <c r="L12" s="250"/>
      <c r="M12" s="251"/>
      <c r="N12" s="251"/>
      <c r="O12" s="251"/>
      <c r="P12" s="251"/>
      <c r="Q12" s="245"/>
      <c r="R12" s="253"/>
      <c r="S12" s="254"/>
      <c r="T12" s="245"/>
      <c r="U12" s="256"/>
      <c r="W12" s="250"/>
      <c r="X12" s="251"/>
      <c r="Y12" s="251"/>
      <c r="Z12" s="251"/>
      <c r="AA12" s="251"/>
      <c r="AB12" s="245"/>
      <c r="AC12" s="253"/>
      <c r="AD12" s="254"/>
      <c r="AE12" s="245"/>
      <c r="AF12" s="256"/>
      <c r="AH12" s="250"/>
      <c r="AI12" s="251"/>
      <c r="AJ12" s="251"/>
      <c r="AK12" s="251"/>
      <c r="AL12" s="251"/>
      <c r="AM12" s="245"/>
      <c r="AN12" s="253"/>
      <c r="AO12" s="254"/>
      <c r="AP12" s="245"/>
      <c r="AQ12" s="245"/>
      <c r="AS12" s="250" t="s">
        <v>581</v>
      </c>
      <c r="AT12" s="251">
        <v>2.25</v>
      </c>
      <c r="AU12" s="251">
        <v>0</v>
      </c>
      <c r="AV12" s="251">
        <f ca="1">IF(RollWidth="Y",6.14,VALUE(Width)*0.5)</f>
        <v>6.14</v>
      </c>
      <c r="AW12" s="251">
        <v>0.28299999999999997</v>
      </c>
      <c r="AX12" s="257">
        <v>1</v>
      </c>
      <c r="AY12" s="253">
        <f ca="1">((PI()*AV12*AW12/4)*(AT12^2-AU12^2))*AX12</f>
        <v>6.9089130057060366</v>
      </c>
      <c r="AZ12" s="254">
        <f ca="1">(((AY12/386.4)*(AT12^2+AU12^2))/8)</f>
        <v>1.131482016413911E-2</v>
      </c>
      <c r="BA12" s="251">
        <f ca="1">Ratio</f>
        <v>11.111000000000001</v>
      </c>
      <c r="BB12" s="256">
        <f ca="1">(AZ12/(BA12^2))</f>
        <v>9.1651876357888744E-5</v>
      </c>
      <c r="BD12" s="250" t="s">
        <v>581</v>
      </c>
      <c r="BE12" s="251">
        <v>2.25</v>
      </c>
      <c r="BF12" s="251">
        <v>0</v>
      </c>
      <c r="BG12" s="251">
        <f ca="1">IF(RollWidth="Y",6.14,VALUE(Width)*0.5)</f>
        <v>6.14</v>
      </c>
      <c r="BH12" s="251">
        <v>0.28299999999999997</v>
      </c>
      <c r="BI12" s="257">
        <v>1</v>
      </c>
      <c r="BJ12" s="253">
        <f ca="1">((PI()*BG12*BH12/4)*(BE12^2-BF12^2))*BI12</f>
        <v>6.9089130057060366</v>
      </c>
      <c r="BK12" s="254">
        <f ca="1">(((BJ12/386.4)*(BE12^2+BF12^2))/8)</f>
        <v>1.131482016413911E-2</v>
      </c>
      <c r="BL12" s="251">
        <f ca="1">Ratio</f>
        <v>11.111000000000001</v>
      </c>
      <c r="BM12" s="256">
        <f ca="1">(BK12/(BL12^2))</f>
        <v>9.1651876357888744E-5</v>
      </c>
      <c r="BO12" s="250" t="s">
        <v>581</v>
      </c>
      <c r="BP12" s="251">
        <v>3.25</v>
      </c>
      <c r="BQ12" s="251">
        <v>0</v>
      </c>
      <c r="BR12" s="251">
        <f ca="1">IF(RollWidth="Y",4.24,VALUE(Width)*0.5+4.74)</f>
        <v>4.24</v>
      </c>
      <c r="BS12" s="251">
        <v>0.28299999999999997</v>
      </c>
      <c r="BT12" s="257">
        <v>1</v>
      </c>
      <c r="BU12" s="253">
        <f ca="1">((PI()*BR12*BS12/4)*(BP12^2-BQ12^2))*BT12</f>
        <v>9.9542580596145864</v>
      </c>
      <c r="BV12" s="254">
        <f ca="1">(((BU12/386.4)*(BP12^2+BQ12^2))/8)</f>
        <v>3.4013279876643078E-2</v>
      </c>
      <c r="BW12" s="255">
        <f ca="1">Ratio</f>
        <v>11.111000000000001</v>
      </c>
      <c r="BX12" s="256">
        <f ca="1">(BV12/(BW12^2))</f>
        <v>2.7551307723480228E-4</v>
      </c>
      <c r="BZ12" s="250" t="s">
        <v>581</v>
      </c>
      <c r="CA12" s="251">
        <v>3.25</v>
      </c>
      <c r="CB12" s="251">
        <v>0</v>
      </c>
      <c r="CC12" s="251">
        <f ca="1">IF(RollWidth="Y",4.24,VALUE(Width)*0.5+4.74)</f>
        <v>4.24</v>
      </c>
      <c r="CD12" s="251">
        <v>0.28299999999999997</v>
      </c>
      <c r="CE12" s="257">
        <v>1</v>
      </c>
      <c r="CF12" s="253">
        <f ca="1">((PI()*CC12*CD12/4)*(CA12^2-CB12^2))*CE12</f>
        <v>9.9542580596145864</v>
      </c>
      <c r="CG12" s="254">
        <f ca="1">(((CF12/386.4)*(CA12^2+CB12^2))/8)</f>
        <v>3.4013279876643078E-2</v>
      </c>
      <c r="CH12" s="255">
        <f ca="1">Ratio</f>
        <v>11.111000000000001</v>
      </c>
      <c r="CI12" s="256">
        <f ca="1">(CG12/(CH12^2))</f>
        <v>2.7551307723480228E-4</v>
      </c>
      <c r="CK12" s="250" t="s">
        <v>581</v>
      </c>
      <c r="CL12" s="251">
        <v>4</v>
      </c>
      <c r="CM12" s="251">
        <v>0</v>
      </c>
      <c r="CN12" s="251">
        <f ca="1">IF(RollWidth="Y",3.906,VALUE(Width)*0.5+5.657)</f>
        <v>3.9060000000000001</v>
      </c>
      <c r="CO12" s="251">
        <v>0.28299999999999997</v>
      </c>
      <c r="CP12" s="257">
        <v>1</v>
      </c>
      <c r="CQ12" s="253">
        <f ca="1">((PI()*CN12*CO12/4)*(CL12^2-CM12^2))*CP12</f>
        <v>13.8908409443714</v>
      </c>
      <c r="CR12" s="254">
        <f ca="1">(((CQ12/386.4)*(CL12^2+CM12^2))/8)</f>
        <v>7.1898762652025883E-2</v>
      </c>
      <c r="CS12" s="255">
        <f ca="1">Ratio</f>
        <v>11.111000000000001</v>
      </c>
      <c r="CT12" s="256">
        <f ca="1">(CR12/(CS12^2))</f>
        <v>5.823916252556755E-4</v>
      </c>
      <c r="CV12" s="250"/>
      <c r="CW12" s="255">
        <v>4.5</v>
      </c>
      <c r="CX12" s="339">
        <v>0</v>
      </c>
      <c r="CY12" s="339">
        <f ca="1">IF(RollWidth="Y",4.92,(VALUE(Width)+5.92)-(VALUE(Width)*0.5))</f>
        <v>4.92</v>
      </c>
      <c r="CZ12" s="251">
        <v>0.28299999999999997</v>
      </c>
      <c r="DA12" s="257">
        <v>1</v>
      </c>
      <c r="DB12" s="340">
        <f ca="1">((PI()*CY12*CZ12/4)*(CW12^2-CX12^2))*DA12</f>
        <v>22.144528982458439</v>
      </c>
      <c r="DC12" s="254">
        <f ca="1">(((DB12/386.4)*(CW12^2+CX12^2))/8)</f>
        <v>0.14506557708811574</v>
      </c>
      <c r="DD12" s="255">
        <f ca="1">Ratio</f>
        <v>11.111000000000001</v>
      </c>
      <c r="DE12" s="256">
        <f ca="1">(DC12/(DD12^2))</f>
        <v>1.1750546753897396E-3</v>
      </c>
      <c r="DG12" s="250"/>
      <c r="DH12" s="339">
        <v>6</v>
      </c>
      <c r="DI12" s="339">
        <v>0</v>
      </c>
      <c r="DJ12" s="339">
        <f ca="1">IF(RollWidth="Y",4.92,(VALUE(Width)+5.92)-(VALUE(Width)*0.5))</f>
        <v>4.92</v>
      </c>
      <c r="DK12" s="254">
        <v>0.28299999999999997</v>
      </c>
      <c r="DL12" s="257">
        <v>1</v>
      </c>
      <c r="DM12" s="340">
        <f ca="1">((PI()*DJ12*DK12/4)*(DH12^2-DI12^2))*DL12</f>
        <v>39.368051524370557</v>
      </c>
      <c r="DN12" s="254">
        <f ca="1">(((DM12/386.4)*(DH12^2+DI12^2))/8)</f>
        <v>0.45847886092046464</v>
      </c>
      <c r="DO12" s="255">
        <f ca="1">Ratio</f>
        <v>11.111000000000001</v>
      </c>
      <c r="DP12" s="256">
        <f ca="1">(DN12/(DO12^2))</f>
        <v>3.7137530481453503E-3</v>
      </c>
      <c r="DR12" s="250"/>
      <c r="DS12" s="341">
        <v>7</v>
      </c>
      <c r="DT12" s="341">
        <v>0</v>
      </c>
      <c r="DU12" s="342">
        <f ca="1">IF(RollWidth="Y",4.92,(VALUE(Width)+5.92)-(VALUE(Width)*0.5))</f>
        <v>4.92</v>
      </c>
      <c r="DV12" s="251">
        <v>0.28299999999999997</v>
      </c>
      <c r="DW12" s="257">
        <v>1</v>
      </c>
      <c r="DX12" s="340">
        <f t="shared" ca="1" si="0"/>
        <v>53.584292352615478</v>
      </c>
      <c r="DY12" s="254">
        <f t="shared" ca="1" si="1"/>
        <v>0.8493886921836693</v>
      </c>
      <c r="DZ12" s="341">
        <f t="shared" ca="1" si="2"/>
        <v>11.111000000000001</v>
      </c>
      <c r="EA12" s="256">
        <f t="shared" ca="1" si="3"/>
        <v>6.8801860097198958E-3</v>
      </c>
    </row>
    <row r="13" spans="1:131" ht="15.75" x14ac:dyDescent="0.25">
      <c r="A13" s="250" t="s">
        <v>584</v>
      </c>
      <c r="B13" s="251">
        <v>2</v>
      </c>
      <c r="C13" s="251">
        <v>1.25</v>
      </c>
      <c r="D13" s="251">
        <v>0.75</v>
      </c>
      <c r="E13" s="251">
        <v>0.28299999999999997</v>
      </c>
      <c r="F13" s="257">
        <v>2</v>
      </c>
      <c r="G13" s="253">
        <f>((PI()*D13*E13/4)*(B13^2-C13^2))*F13</f>
        <v>0.81266620588290339</v>
      </c>
      <c r="H13" s="254">
        <f>(((G13/386.4)*(B13^2+C13^2))/8)</f>
        <v>1.462362762106512E-3</v>
      </c>
      <c r="I13" s="255">
        <f ca="1">(B13/B14)*Ratio</f>
        <v>11.111000000000001</v>
      </c>
      <c r="J13" s="256">
        <f ca="1">(H13/(I13^2))</f>
        <v>1.1845375279383796E-5</v>
      </c>
      <c r="L13" s="250" t="s">
        <v>584</v>
      </c>
      <c r="M13" s="251">
        <v>2</v>
      </c>
      <c r="N13" s="251">
        <v>1.25</v>
      </c>
      <c r="O13" s="251">
        <v>0.75</v>
      </c>
      <c r="P13" s="251">
        <v>0.28299999999999997</v>
      </c>
      <c r="Q13" s="257">
        <v>2</v>
      </c>
      <c r="R13" s="253">
        <f>((PI()*P13*O13/4)*(M13^2-N13^2))*Q13</f>
        <v>0.81266620588290339</v>
      </c>
      <c r="S13" s="254">
        <f>(((R13/386.4)*(M13^2+N13^2))/8)</f>
        <v>1.462362762106512E-3</v>
      </c>
      <c r="T13" s="255">
        <f ca="1">(M13/M14)*Ratio</f>
        <v>11.111000000000001</v>
      </c>
      <c r="U13" s="256">
        <f ca="1">(S13/(T13^2))</f>
        <v>1.1845375279383796E-5</v>
      </c>
      <c r="W13" s="250" t="s">
        <v>584</v>
      </c>
      <c r="X13" s="251">
        <v>2</v>
      </c>
      <c r="Y13" s="251">
        <v>1.25</v>
      </c>
      <c r="Z13" s="251">
        <v>0.75</v>
      </c>
      <c r="AA13" s="251">
        <v>0.28299999999999997</v>
      </c>
      <c r="AB13" s="257">
        <v>2</v>
      </c>
      <c r="AC13" s="253">
        <f>((PI()*Z13*AA13/4)*(X13^2-Y13^2))*AB13</f>
        <v>0.81266620588290339</v>
      </c>
      <c r="AD13" s="254">
        <f>(((AC13/386.4)*(X13^2+Y13^2))/8)</f>
        <v>1.462362762106512E-3</v>
      </c>
      <c r="AE13" s="255">
        <f ca="1">(X13/X14)*Ratio</f>
        <v>11.111000000000001</v>
      </c>
      <c r="AF13" s="256">
        <f ca="1">(AD13/(AE13^2))</f>
        <v>1.1845375279383796E-5</v>
      </c>
      <c r="AH13" s="250" t="s">
        <v>584</v>
      </c>
      <c r="AI13" s="251">
        <v>2</v>
      </c>
      <c r="AJ13" s="251">
        <v>1.25</v>
      </c>
      <c r="AK13" s="251">
        <v>0.75</v>
      </c>
      <c r="AL13" s="251">
        <v>0.28299999999999997</v>
      </c>
      <c r="AM13" s="257">
        <v>2</v>
      </c>
      <c r="AN13" s="253">
        <f>((PI()*AK13*AL13/4)*(AI13^2-AJ13^2))*AM13</f>
        <v>0.81266620588290339</v>
      </c>
      <c r="AO13" s="254">
        <f>(((AN13/386.4)*(AI13^2+AJ13^2))/8)</f>
        <v>1.462362762106512E-3</v>
      </c>
      <c r="AP13" s="255">
        <f ca="1">(AI13/AI14)*Ratio</f>
        <v>11.111000000000001</v>
      </c>
      <c r="AQ13" s="256">
        <f ca="1">(AO13/(AP13^2))</f>
        <v>1.1845375279383796E-5</v>
      </c>
      <c r="AS13" s="250" t="s">
        <v>580</v>
      </c>
      <c r="AT13" s="251">
        <v>1.5745</v>
      </c>
      <c r="AU13" s="251">
        <v>0</v>
      </c>
      <c r="AV13" s="251">
        <v>7.76</v>
      </c>
      <c r="AW13" s="251">
        <v>0.28299999999999997</v>
      </c>
      <c r="AX13" s="257">
        <v>1</v>
      </c>
      <c r="AY13" s="253">
        <f>((PI()*AV13*AW13/4)*(AT13^2-AU13^2))*AX13</f>
        <v>4.275858926571753</v>
      </c>
      <c r="AZ13" s="254">
        <f>(((AY13/386.4)*(AT13^2+AU13^2))/8)</f>
        <v>3.429111393919008E-3</v>
      </c>
      <c r="BA13" s="251">
        <f ca="1">Ratio</f>
        <v>11.111000000000001</v>
      </c>
      <c r="BB13" s="256">
        <f ca="1">(AZ13/(BA13^2))</f>
        <v>2.7776357815122627E-5</v>
      </c>
      <c r="BD13" s="250" t="s">
        <v>580</v>
      </c>
      <c r="BE13" s="251">
        <v>1.5745</v>
      </c>
      <c r="BF13" s="251">
        <v>0</v>
      </c>
      <c r="BG13" s="251">
        <v>7.76</v>
      </c>
      <c r="BH13" s="251">
        <v>0.28299999999999997</v>
      </c>
      <c r="BI13" s="257">
        <v>1</v>
      </c>
      <c r="BJ13" s="253">
        <f>((PI()*BG13*BH13/4)*(BE13^2-BF13^2))*BI13</f>
        <v>4.275858926571753</v>
      </c>
      <c r="BK13" s="254">
        <f>(((BJ13/386.4)*(BE13^2+BF13^2))/8)</f>
        <v>3.429111393919008E-3</v>
      </c>
      <c r="BL13" s="251">
        <f ca="1">Ratio</f>
        <v>11.111000000000001</v>
      </c>
      <c r="BM13" s="256">
        <f ca="1">(BK13/(BL13^2))</f>
        <v>2.7776357815122627E-5</v>
      </c>
      <c r="BO13" s="250" t="s">
        <v>580</v>
      </c>
      <c r="BP13" s="251">
        <v>2.7549999999999999</v>
      </c>
      <c r="BQ13" s="251">
        <v>0</v>
      </c>
      <c r="BR13" s="251">
        <v>7.76</v>
      </c>
      <c r="BS13" s="251">
        <v>0.28299999999999997</v>
      </c>
      <c r="BT13" s="257">
        <v>1</v>
      </c>
      <c r="BU13" s="253">
        <f>((PI()*BR13*BS13/4)*(BP13^2-BQ13^2))*BT13</f>
        <v>13.091253857864626</v>
      </c>
      <c r="BV13" s="254">
        <f>(((BU13/386.4)*(BP13^2+BQ13^2))/8)</f>
        <v>3.2143809544040808E-2</v>
      </c>
      <c r="BW13" s="255">
        <f ca="1">Ratio</f>
        <v>11.111000000000001</v>
      </c>
      <c r="BX13" s="256">
        <f ca="1">(BV13/(BW13^2))</f>
        <v>2.6037006468198715E-4</v>
      </c>
      <c r="BZ13" s="250" t="s">
        <v>580</v>
      </c>
      <c r="CA13" s="251">
        <v>2.7549999999999999</v>
      </c>
      <c r="CB13" s="251">
        <v>0</v>
      </c>
      <c r="CC13" s="251">
        <v>7.76</v>
      </c>
      <c r="CD13" s="251">
        <v>0.28299999999999997</v>
      </c>
      <c r="CE13" s="257">
        <v>1</v>
      </c>
      <c r="CF13" s="253">
        <f>((PI()*CC13*CD13/4)*(CA13^2-CB13^2))*CE13</f>
        <v>13.091253857864626</v>
      </c>
      <c r="CG13" s="254">
        <f>(((CF13/386.4)*(CA13^2+CB13^2))/8)</f>
        <v>3.2143809544040808E-2</v>
      </c>
      <c r="CH13" s="255">
        <f ca="1">Ratio</f>
        <v>11.111000000000001</v>
      </c>
      <c r="CI13" s="256">
        <f ca="1">(CG13/(CH13^2))</f>
        <v>2.6037006468198715E-4</v>
      </c>
      <c r="CK13" s="250" t="s">
        <v>580</v>
      </c>
      <c r="CL13" s="251">
        <v>2.4359999999999999</v>
      </c>
      <c r="CM13" s="251">
        <v>0</v>
      </c>
      <c r="CN13" s="251">
        <f ca="1">IF(RollWidth="Y",16.75,10.968)</f>
        <v>16.75</v>
      </c>
      <c r="CO13" s="251">
        <v>0.28299999999999997</v>
      </c>
      <c r="CP13" s="257">
        <v>1</v>
      </c>
      <c r="CQ13" s="253">
        <f ca="1">((PI()*CN13*CO13/4)*(CL13^2-CM13^2))*CP13</f>
        <v>22.092542350191394</v>
      </c>
      <c r="CR13" s="254">
        <f ca="1">(((CQ13/386.4)*(CL13^2+CM13^2))/8)</f>
        <v>4.2410477222470676E-2</v>
      </c>
      <c r="CS13" s="255">
        <f ca="1">Ratio</f>
        <v>11.111000000000001</v>
      </c>
      <c r="CT13" s="256">
        <f ca="1">(CR13/(CS13^2))</f>
        <v>3.4353173610238131E-4</v>
      </c>
      <c r="CV13" s="250" t="s">
        <v>580</v>
      </c>
      <c r="CW13" s="255">
        <v>2.75</v>
      </c>
      <c r="CX13" s="339">
        <v>0</v>
      </c>
      <c r="CY13" s="339">
        <v>5.44</v>
      </c>
      <c r="CZ13" s="251">
        <v>0.28299999999999997</v>
      </c>
      <c r="DA13" s="257">
        <v>1</v>
      </c>
      <c r="DB13" s="340">
        <f>((PI()*CY13*CZ13/4)*(CW13^2-CX13^2))*DA13</f>
        <v>9.1440923651343997</v>
      </c>
      <c r="DC13" s="254">
        <f>(((DB13/386.4)*(CW13^2+CX13^2))/8)</f>
        <v>2.2370664632288078E-2</v>
      </c>
      <c r="DD13" s="255">
        <f ca="1">Ratio</f>
        <v>11.111000000000001</v>
      </c>
      <c r="DE13" s="256">
        <f ca="1">(DC13/(DD13^2))</f>
        <v>1.8120600762356527E-4</v>
      </c>
      <c r="DG13" s="250" t="s">
        <v>580</v>
      </c>
      <c r="DH13" s="339">
        <v>2</v>
      </c>
      <c r="DI13" s="339">
        <v>0</v>
      </c>
      <c r="DJ13" s="339">
        <v>3.52</v>
      </c>
      <c r="DK13" s="254">
        <v>0.28299999999999997</v>
      </c>
      <c r="DL13" s="257">
        <v>1</v>
      </c>
      <c r="DM13" s="340">
        <f>((PI()*DJ13*DK13/4)*(DH13^2-DI13^2))*DL13</f>
        <v>3.129528937800008</v>
      </c>
      <c r="DN13" s="254">
        <f>(((DM13/386.4)*(DH13^2+DI13^2))/8)</f>
        <v>4.0495974868012524E-3</v>
      </c>
      <c r="DO13" s="255">
        <f ca="1">Ratio</f>
        <v>11.111000000000001</v>
      </c>
      <c r="DP13" s="256">
        <f ca="1">(DN13/(DO13^2))</f>
        <v>3.280239568772365E-5</v>
      </c>
      <c r="DR13" s="250" t="s">
        <v>580</v>
      </c>
      <c r="DS13" s="341">
        <v>2</v>
      </c>
      <c r="DT13" s="341">
        <v>0</v>
      </c>
      <c r="DU13" s="258">
        <v>3.52</v>
      </c>
      <c r="DV13" s="251">
        <v>0.28299999999999997</v>
      </c>
      <c r="DW13" s="257">
        <v>1</v>
      </c>
      <c r="DX13" s="340">
        <f t="shared" si="0"/>
        <v>3.129528937800008</v>
      </c>
      <c r="DY13" s="254">
        <f t="shared" si="1"/>
        <v>4.0495974868012524E-3</v>
      </c>
      <c r="DZ13" s="341">
        <f t="shared" ca="1" si="2"/>
        <v>11.111000000000001</v>
      </c>
      <c r="EA13" s="256">
        <f t="shared" ca="1" si="3"/>
        <v>3.280239568772365E-5</v>
      </c>
    </row>
    <row r="14" spans="1:131" ht="15.75" x14ac:dyDescent="0.25">
      <c r="A14" s="250" t="s">
        <v>585</v>
      </c>
      <c r="B14" s="251">
        <v>2</v>
      </c>
      <c r="C14" s="251">
        <v>1</v>
      </c>
      <c r="D14" s="251">
        <v>0.75</v>
      </c>
      <c r="E14" s="251">
        <v>0.28299999999999997</v>
      </c>
      <c r="F14" s="257">
        <v>2</v>
      </c>
      <c r="G14" s="253">
        <f>((PI()*D14*E14/4)*(B14^2-C14^2))*F14</f>
        <v>1.0002045610866503</v>
      </c>
      <c r="H14" s="254">
        <f>(((G14/386.4)*(B14^2+C14^2))/8)</f>
        <v>1.6178257005154155E-3</v>
      </c>
      <c r="I14" s="255">
        <f ca="1">Ratio</f>
        <v>11.111000000000001</v>
      </c>
      <c r="J14" s="256">
        <f ca="1">(H14/(I14^2))</f>
        <v>1.3104650265869715E-5</v>
      </c>
      <c r="L14" s="250" t="s">
        <v>585</v>
      </c>
      <c r="M14" s="251">
        <v>2</v>
      </c>
      <c r="N14" s="251">
        <v>1</v>
      </c>
      <c r="O14" s="251">
        <v>0.75</v>
      </c>
      <c r="P14" s="251">
        <v>0.28299999999999997</v>
      </c>
      <c r="Q14" s="257">
        <v>2</v>
      </c>
      <c r="R14" s="253">
        <f>((PI()*P14*O14/4)*(M14^2-N14^2))*Q14</f>
        <v>1.0002045610866503</v>
      </c>
      <c r="S14" s="254">
        <f>(((R14/386.4)*(M14^2+N14^2))/8)</f>
        <v>1.6178257005154155E-3</v>
      </c>
      <c r="T14" s="255">
        <f ca="1">Ratio</f>
        <v>11.111000000000001</v>
      </c>
      <c r="U14" s="256">
        <f ca="1">(S14/(T14^2))</f>
        <v>1.3104650265869715E-5</v>
      </c>
      <c r="W14" s="250" t="s">
        <v>585</v>
      </c>
      <c r="X14" s="251">
        <v>2</v>
      </c>
      <c r="Y14" s="251">
        <v>1</v>
      </c>
      <c r="Z14" s="251">
        <v>0.75</v>
      </c>
      <c r="AA14" s="251">
        <v>0.28299999999999997</v>
      </c>
      <c r="AB14" s="257">
        <v>2</v>
      </c>
      <c r="AC14" s="253">
        <f>((PI()*Z14*AA14/4)*(X14^2-Y14^2))*AB14</f>
        <v>1.0002045610866503</v>
      </c>
      <c r="AD14" s="254">
        <f>(((AC14/386.4)*(X14^2+Y14^2))/8)</f>
        <v>1.6178257005154155E-3</v>
      </c>
      <c r="AE14" s="255">
        <f ca="1">Ratio</f>
        <v>11.111000000000001</v>
      </c>
      <c r="AF14" s="256">
        <f ca="1">(AD14/(AE14^2))</f>
        <v>1.3104650265869715E-5</v>
      </c>
      <c r="AH14" s="250" t="s">
        <v>585</v>
      </c>
      <c r="AI14" s="251">
        <v>2</v>
      </c>
      <c r="AJ14" s="251">
        <v>1</v>
      </c>
      <c r="AK14" s="251">
        <v>0.75</v>
      </c>
      <c r="AL14" s="251">
        <v>0.28299999999999997</v>
      </c>
      <c r="AM14" s="257">
        <v>2</v>
      </c>
      <c r="AN14" s="253">
        <f>((PI()*AK14*AL14/4)*(AI14^2-AJ14^2))*AM14</f>
        <v>1.0002045610866503</v>
      </c>
      <c r="AO14" s="254">
        <f>(((AN14/386.4)*(AI14^2+AJ14^2))/8)</f>
        <v>1.6178257005154155E-3</v>
      </c>
      <c r="AP14" s="255">
        <f ca="1">Ratio</f>
        <v>11.111000000000001</v>
      </c>
      <c r="AQ14" s="256">
        <f ca="1">(AO14/(AP14^2))</f>
        <v>1.3104650265869715E-5</v>
      </c>
      <c r="AS14" s="250"/>
      <c r="AT14" s="251"/>
      <c r="AU14" s="251"/>
      <c r="AV14" s="251"/>
      <c r="AW14" s="251"/>
      <c r="AX14" s="245"/>
      <c r="AY14" s="253"/>
      <c r="AZ14" s="254"/>
      <c r="BA14" s="251"/>
      <c r="BB14" s="256"/>
      <c r="BD14" s="250"/>
      <c r="BE14" s="251"/>
      <c r="BF14" s="251"/>
      <c r="BG14" s="251"/>
      <c r="BH14" s="251"/>
      <c r="BI14" s="245"/>
      <c r="BJ14" s="253"/>
      <c r="BK14" s="254"/>
      <c r="BL14" s="251"/>
      <c r="BM14" s="245"/>
      <c r="BO14" s="250"/>
      <c r="BP14" s="251"/>
      <c r="BQ14" s="251"/>
      <c r="BR14" s="251"/>
      <c r="BS14" s="251"/>
      <c r="BT14" s="245"/>
      <c r="BU14" s="253"/>
      <c r="BV14" s="254"/>
      <c r="BW14" s="245"/>
      <c r="BX14" s="245"/>
      <c r="BZ14" s="250"/>
      <c r="CA14" s="251"/>
      <c r="CB14" s="251"/>
      <c r="CC14" s="251"/>
      <c r="CD14" s="251"/>
      <c r="CE14" s="245"/>
      <c r="CF14" s="253"/>
      <c r="CG14" s="254"/>
      <c r="CH14" s="245"/>
      <c r="CI14" s="245"/>
      <c r="CK14" s="250"/>
      <c r="CL14" s="251"/>
      <c r="CM14" s="251"/>
      <c r="CN14" s="251"/>
      <c r="CO14" s="251"/>
      <c r="CP14" s="245"/>
      <c r="CQ14" s="253"/>
      <c r="CR14" s="254"/>
      <c r="CS14" s="245"/>
      <c r="CT14" s="245"/>
      <c r="CV14" s="250"/>
      <c r="CW14" s="255">
        <v>3.4990000000000001</v>
      </c>
      <c r="CX14" s="339">
        <v>0</v>
      </c>
      <c r="CY14" s="339">
        <v>6.3920000000000003</v>
      </c>
      <c r="CZ14" s="251">
        <v>0.28299999999999997</v>
      </c>
      <c r="DA14" s="257">
        <v>1</v>
      </c>
      <c r="DB14" s="340">
        <f>((PI()*CY14*CZ14/4)*(CW14^2-CX14^2))*DA14</f>
        <v>17.39406017391849</v>
      </c>
      <c r="DC14" s="254">
        <f>(((DB14/386.4)*(CW14^2+CX14^2))/8)</f>
        <v>6.8890882538607756E-2</v>
      </c>
      <c r="DD14" s="255">
        <f ca="1">Ratio</f>
        <v>11.111000000000001</v>
      </c>
      <c r="DE14" s="256">
        <f ca="1">(DC14/(DD14^2))</f>
        <v>5.5802730905310104E-4</v>
      </c>
      <c r="DG14" s="250"/>
      <c r="DH14" s="339">
        <v>2.75</v>
      </c>
      <c r="DI14" s="339">
        <v>0</v>
      </c>
      <c r="DJ14" s="339">
        <v>1.63</v>
      </c>
      <c r="DK14" s="254">
        <v>0.28299999999999997</v>
      </c>
      <c r="DL14" s="257">
        <v>1</v>
      </c>
      <c r="DM14" s="340">
        <f>((PI()*DJ14*DK14/4)*(DH14^2-DI14^2))*DL14</f>
        <v>2.739865910876667</v>
      </c>
      <c r="DN14" s="254">
        <f>(((DM14/386.4)*(DH14^2+DI14^2))/8)</f>
        <v>6.7029748806304336E-3</v>
      </c>
      <c r="DO14" s="255">
        <f ca="1">Ratio</f>
        <v>11.111000000000001</v>
      </c>
      <c r="DP14" s="256">
        <f ca="1">(DN14/(DO14^2))</f>
        <v>5.4295182431325608E-5</v>
      </c>
      <c r="DR14" s="250"/>
      <c r="DS14" s="341">
        <v>3.5</v>
      </c>
      <c r="DT14" s="341">
        <v>0</v>
      </c>
      <c r="DU14" s="258">
        <v>8.75</v>
      </c>
      <c r="DV14" s="251">
        <v>0.28299999999999997</v>
      </c>
      <c r="DW14" s="257">
        <v>1</v>
      </c>
      <c r="DX14" s="340">
        <f t="shared" si="0"/>
        <v>23.824316975883406</v>
      </c>
      <c r="DY14" s="254">
        <f t="shared" si="1"/>
        <v>9.4412488015842302E-2</v>
      </c>
      <c r="DZ14" s="341">
        <f t="shared" ca="1" si="2"/>
        <v>11.111000000000001</v>
      </c>
      <c r="EA14" s="256">
        <f t="shared" ca="1" si="3"/>
        <v>7.6475644798080654E-4</v>
      </c>
    </row>
    <row r="15" spans="1:131" ht="15.75" x14ac:dyDescent="0.25">
      <c r="A15" s="250"/>
      <c r="B15" s="251"/>
      <c r="C15" s="251"/>
      <c r="D15" s="251"/>
      <c r="E15" s="251"/>
      <c r="F15" s="245"/>
      <c r="G15" s="253"/>
      <c r="H15" s="254"/>
      <c r="I15" s="255"/>
      <c r="J15" s="256"/>
      <c r="L15" s="250"/>
      <c r="M15" s="251"/>
      <c r="N15" s="251"/>
      <c r="O15" s="251"/>
      <c r="P15" s="251"/>
      <c r="Q15" s="245"/>
      <c r="R15" s="253"/>
      <c r="S15" s="254"/>
      <c r="T15" s="255"/>
      <c r="U15" s="256"/>
      <c r="W15" s="250"/>
      <c r="X15" s="251"/>
      <c r="Y15" s="251"/>
      <c r="Z15" s="251"/>
      <c r="AA15" s="251"/>
      <c r="AB15" s="245"/>
      <c r="AC15" s="253"/>
      <c r="AD15" s="254"/>
      <c r="AE15" s="255"/>
      <c r="AF15" s="256"/>
      <c r="AH15" s="250"/>
      <c r="AI15" s="251"/>
      <c r="AJ15" s="251"/>
      <c r="AK15" s="251"/>
      <c r="AL15" s="251"/>
      <c r="AM15" s="245"/>
      <c r="AN15" s="253"/>
      <c r="AO15" s="254"/>
      <c r="AP15" s="245"/>
      <c r="AQ15" s="245"/>
      <c r="AS15" s="250" t="s">
        <v>584</v>
      </c>
      <c r="AT15" s="251">
        <v>3</v>
      </c>
      <c r="AU15" s="251">
        <v>1.7497</v>
      </c>
      <c r="AV15" s="251">
        <v>1</v>
      </c>
      <c r="AW15" s="251">
        <v>0.28299999999999997</v>
      </c>
      <c r="AX15" s="257">
        <v>2</v>
      </c>
      <c r="AY15" s="253">
        <f>((PI()*AV15*AW15/4)*(AT15^2-AU15^2))*AX15</f>
        <v>2.6398954249878739</v>
      </c>
      <c r="AZ15" s="254">
        <f>(((AY15/386.4)*(AT15^2+AU15^2))/8)</f>
        <v>1.0300519834145505E-2</v>
      </c>
      <c r="BA15" s="251">
        <f ca="1">(AT15/AT16)*Ratio</f>
        <v>13.3332</v>
      </c>
      <c r="BB15" s="256">
        <f ca="1">(AZ15/(BA15^2))</f>
        <v>5.794158289293217E-5</v>
      </c>
      <c r="BD15" s="250" t="s">
        <v>584</v>
      </c>
      <c r="BE15" s="251">
        <v>3</v>
      </c>
      <c r="BF15" s="251">
        <v>1.7497</v>
      </c>
      <c r="BG15" s="251">
        <v>1</v>
      </c>
      <c r="BH15" s="251">
        <v>0.28299999999999997</v>
      </c>
      <c r="BI15" s="257">
        <v>2</v>
      </c>
      <c r="BJ15" s="253">
        <f>((PI()*BG15*BH15/4)*(BE15^2-BF15^2))*BI15</f>
        <v>2.6398954249878739</v>
      </c>
      <c r="BK15" s="254">
        <f>(((BJ15/386.4)*(BE15^2+BF15^2))/8)</f>
        <v>1.0300519834145505E-2</v>
      </c>
      <c r="BL15" s="251">
        <f ca="1">(BE15/BE16)*Ratio</f>
        <v>13.3332</v>
      </c>
      <c r="BM15" s="256">
        <f ca="1">(BK15/(BL15^2))</f>
        <v>5.794158289293217E-5</v>
      </c>
      <c r="BO15" s="250" t="s">
        <v>584</v>
      </c>
      <c r="BP15" s="251">
        <v>4</v>
      </c>
      <c r="BQ15" s="251">
        <v>1.7497</v>
      </c>
      <c r="BR15" s="251">
        <v>1.25</v>
      </c>
      <c r="BS15" s="251">
        <v>0.28299999999999997</v>
      </c>
      <c r="BT15" s="257">
        <v>2</v>
      </c>
      <c r="BU15" s="253">
        <f>((PI()*BR15*BS15/4)*(BP15^2-BQ15^2))*BT15</f>
        <v>7.1895536854607043</v>
      </c>
      <c r="BV15" s="254">
        <f>(((BU15/386.4)*(BP15^2+BQ15^2))/8)</f>
        <v>4.4333371747148291E-2</v>
      </c>
      <c r="BW15" s="255">
        <f ca="1">(BP15/BP16)*Ratio</f>
        <v>12.698285714285714</v>
      </c>
      <c r="BX15" s="256">
        <f ca="1">(BV15/(BW15^2))</f>
        <v>2.7494167453167087E-4</v>
      </c>
      <c r="BZ15" s="250" t="s">
        <v>584</v>
      </c>
      <c r="CA15" s="251">
        <v>4</v>
      </c>
      <c r="CB15" s="251">
        <v>1.7497</v>
      </c>
      <c r="CC15" s="251">
        <v>1.25</v>
      </c>
      <c r="CD15" s="251">
        <v>0.28299999999999997</v>
      </c>
      <c r="CE15" s="257">
        <v>2</v>
      </c>
      <c r="CF15" s="253">
        <f>((PI()*CC15*CD15/4)*(CA15^2-CB15^2))*CE15</f>
        <v>7.1895536854607043</v>
      </c>
      <c r="CG15" s="254">
        <f>(((CF15/386.4)*(CA15^2+CB15^2))/8)</f>
        <v>4.4333371747148291E-2</v>
      </c>
      <c r="CH15" s="255">
        <f ca="1">(CA15/CA16)*Ratio</f>
        <v>12.698285714285714</v>
      </c>
      <c r="CI15" s="256">
        <f ca="1">(CG15/(CH15^2))</f>
        <v>2.7494167453167087E-4</v>
      </c>
      <c r="CK15" s="250" t="s">
        <v>586</v>
      </c>
      <c r="CL15" s="251">
        <v>5.33</v>
      </c>
      <c r="CM15" s="251">
        <v>2</v>
      </c>
      <c r="CN15" s="251">
        <v>2</v>
      </c>
      <c r="CO15" s="251">
        <v>0.28299999999999997</v>
      </c>
      <c r="CP15" s="257">
        <v>2</v>
      </c>
      <c r="CQ15" s="253">
        <f>((PI()*CN15*CO15/4)*(CL15^2-CM15^2))*CP15</f>
        <v>21.701238320984832</v>
      </c>
      <c r="CR15" s="254">
        <f>(((CQ15/386.4)*(CL15^2+CM15^2))/8)</f>
        <v>0.22752111239032266</v>
      </c>
      <c r="CS15" s="255">
        <f ca="1">(CL15/CL18)*Ratio</f>
        <v>12.261207039337476</v>
      </c>
      <c r="CT15" s="256">
        <f ca="1">(CR15/(CS15^2))</f>
        <v>1.5134053003784862E-3</v>
      </c>
      <c r="CV15" s="250"/>
      <c r="CW15" s="255"/>
      <c r="CX15" s="339"/>
      <c r="CY15" s="339"/>
      <c r="CZ15" s="251"/>
      <c r="DA15" s="245"/>
      <c r="DB15" s="340"/>
      <c r="DC15" s="254"/>
      <c r="DD15" s="255"/>
      <c r="DE15" s="256"/>
      <c r="DG15" s="250"/>
      <c r="DH15" s="339">
        <v>3.5</v>
      </c>
      <c r="DI15" s="339">
        <v>0</v>
      </c>
      <c r="DJ15" s="339">
        <v>6.37</v>
      </c>
      <c r="DK15" s="254">
        <v>0.28299999999999997</v>
      </c>
      <c r="DL15" s="257">
        <v>1</v>
      </c>
      <c r="DM15" s="340">
        <f>((PI()*DJ15*DK15/4)*(DH15^2-DI15^2))*DL15</f>
        <v>17.344102758443121</v>
      </c>
      <c r="DN15" s="254">
        <f>(((DM15/386.4)*(DH15^2+DI15^2))/8)</f>
        <v>6.8732291275533208E-2</v>
      </c>
      <c r="DO15" s="255">
        <f ca="1">Ratio</f>
        <v>11.111000000000001</v>
      </c>
      <c r="DP15" s="256">
        <f ca="1">(DN15/(DO15^2))</f>
        <v>5.5674269413002726E-4</v>
      </c>
      <c r="DR15" s="250"/>
      <c r="DS15" s="341">
        <v>4.33</v>
      </c>
      <c r="DT15" s="341">
        <v>0</v>
      </c>
      <c r="DU15" s="258">
        <v>2.13</v>
      </c>
      <c r="DV15" s="251">
        <v>0.28299999999999997</v>
      </c>
      <c r="DW15" s="257">
        <v>1</v>
      </c>
      <c r="DX15" s="340">
        <f t="shared" si="0"/>
        <v>8.8762947064692135</v>
      </c>
      <c r="DY15" s="254">
        <f t="shared" si="1"/>
        <v>5.3836944171234684E-2</v>
      </c>
      <c r="DZ15" s="341">
        <f t="shared" ca="1" si="2"/>
        <v>11.111000000000001</v>
      </c>
      <c r="EA15" s="256">
        <f t="shared" ca="1" si="3"/>
        <v>4.3608796950278213E-4</v>
      </c>
    </row>
    <row r="16" spans="1:131" ht="15.75" x14ac:dyDescent="0.25">
      <c r="A16" s="250" t="s">
        <v>587</v>
      </c>
      <c r="B16" s="251">
        <v>6.9610000000000003</v>
      </c>
      <c r="C16" s="251">
        <v>4.88</v>
      </c>
      <c r="D16" s="251">
        <v>1.28</v>
      </c>
      <c r="E16" s="251">
        <v>0.28299999999999997</v>
      </c>
      <c r="F16" s="257">
        <v>1</v>
      </c>
      <c r="G16" s="253">
        <f>((PI()*D16*E16/4)*(B16^2-C16^2))*F16</f>
        <v>7.0104637481210448</v>
      </c>
      <c r="H16" s="254">
        <f>(((G16/386.4)*(B16^2+C16^2))/8)</f>
        <v>0.16389934693648806</v>
      </c>
      <c r="I16" s="255">
        <f ca="1">Ratio</f>
        <v>11.111000000000001</v>
      </c>
      <c r="J16" s="256">
        <f ca="1">(H16/(I16^2))</f>
        <v>1.3276112622780374E-3</v>
      </c>
      <c r="L16" s="250" t="s">
        <v>587</v>
      </c>
      <c r="M16" s="251">
        <v>5.5940000000000003</v>
      </c>
      <c r="N16" s="251">
        <v>4.88</v>
      </c>
      <c r="O16" s="251">
        <v>1.28</v>
      </c>
      <c r="P16" s="251">
        <v>0.28299999999999997</v>
      </c>
      <c r="Q16" s="257">
        <v>1</v>
      </c>
      <c r="R16" s="253">
        <f>((PI()*P16*O16/4)*(M16^2-N16^2))*Q16</f>
        <v>2.1276347155895783</v>
      </c>
      <c r="S16" s="254">
        <f>(((R16/386.4)*(M16^2+N16^2))/8)</f>
        <v>3.7929628750578342E-2</v>
      </c>
      <c r="T16" s="255">
        <f ca="1">Ratio</f>
        <v>11.111000000000001</v>
      </c>
      <c r="U16" s="256">
        <f ca="1">(S16/(T16^2))</f>
        <v>3.0723613757171233E-4</v>
      </c>
      <c r="W16" s="250" t="s">
        <v>587</v>
      </c>
      <c r="X16" s="251">
        <v>5.5940000000000003</v>
      </c>
      <c r="Y16" s="251">
        <v>4.88</v>
      </c>
      <c r="Z16" s="251">
        <v>1.28</v>
      </c>
      <c r="AA16" s="251">
        <v>0.28299999999999997</v>
      </c>
      <c r="AB16" s="257">
        <v>1</v>
      </c>
      <c r="AC16" s="253">
        <f>((PI()*Z16*AA16/4)*(X16^2-Y16^2))*AB16</f>
        <v>2.1276347155895783</v>
      </c>
      <c r="AD16" s="254">
        <f>(((AC16/386.4)*(X16^2+Y16^2))/8)</f>
        <v>3.7929628750578342E-2</v>
      </c>
      <c r="AE16" s="255">
        <f ca="1">Ratio</f>
        <v>11.111000000000001</v>
      </c>
      <c r="AF16" s="256">
        <f ca="1">(AD16/(AE16^2))</f>
        <v>3.0723613757171233E-4</v>
      </c>
      <c r="AH16" s="250" t="s">
        <v>587</v>
      </c>
      <c r="AI16" s="251">
        <v>6.9610000000000003</v>
      </c>
      <c r="AJ16" s="251">
        <v>4.88</v>
      </c>
      <c r="AK16" s="251">
        <v>1.28</v>
      </c>
      <c r="AL16" s="251">
        <v>0.28299999999999997</v>
      </c>
      <c r="AM16" s="257">
        <v>1</v>
      </c>
      <c r="AN16" s="253">
        <f>((PI()*AK16*AL16/4)*(AI16^2-AJ16^2))*AM16</f>
        <v>7.0104637481210448</v>
      </c>
      <c r="AO16" s="254">
        <f>(((AN16/386.4)*(AI16^2+AJ16^2))/8)</f>
        <v>0.16389934693648806</v>
      </c>
      <c r="AP16" s="255">
        <f ca="1">Ratio</f>
        <v>11.111000000000001</v>
      </c>
      <c r="AQ16" s="256">
        <f ca="1">(AO16/(AP16^2))</f>
        <v>1.3276112622780374E-3</v>
      </c>
      <c r="AS16" s="250" t="s">
        <v>585</v>
      </c>
      <c r="AT16" s="251">
        <v>2.5</v>
      </c>
      <c r="AU16" s="251">
        <v>1.339</v>
      </c>
      <c r="AV16" s="251">
        <v>1</v>
      </c>
      <c r="AW16" s="251">
        <v>0.28299999999999997</v>
      </c>
      <c r="AX16" s="257">
        <v>2</v>
      </c>
      <c r="AY16" s="253">
        <f>((PI()*AV16*AW16/4)*(AT16^2-AU16^2))*AX16</f>
        <v>1.9813292199660117</v>
      </c>
      <c r="AZ16" s="254">
        <f>(((AY16/386.4)*(AT16^2+AU16^2))/8)</f>
        <v>5.1551741689888249E-3</v>
      </c>
      <c r="BA16" s="251">
        <f ca="1">Ratio</f>
        <v>11.111000000000001</v>
      </c>
      <c r="BB16" s="256">
        <f ca="1">(AZ16/(BA16^2))</f>
        <v>4.1757745919552091E-5</v>
      </c>
      <c r="BD16" s="250" t="s">
        <v>585</v>
      </c>
      <c r="BE16" s="251">
        <v>2.5</v>
      </c>
      <c r="BF16" s="251">
        <v>1.339</v>
      </c>
      <c r="BG16" s="251">
        <v>1</v>
      </c>
      <c r="BH16" s="251">
        <v>0.28299999999999997</v>
      </c>
      <c r="BI16" s="257">
        <v>2</v>
      </c>
      <c r="BJ16" s="253">
        <f>((PI()*BG16*BH16/4)*(BE16^2-BF16^2))*BI16</f>
        <v>1.9813292199660117</v>
      </c>
      <c r="BK16" s="254">
        <f>(((BJ16/386.4)*(BE16^2+BF16^2))/8)</f>
        <v>5.1551741689888249E-3</v>
      </c>
      <c r="BL16" s="251">
        <f ca="1">Ratio</f>
        <v>11.111000000000001</v>
      </c>
      <c r="BM16" s="256">
        <f ca="1">(BK16/(BL16^2))</f>
        <v>4.1757745919552091E-5</v>
      </c>
      <c r="BO16" s="250" t="s">
        <v>585</v>
      </c>
      <c r="BP16" s="251">
        <v>3.5</v>
      </c>
      <c r="BQ16" s="251">
        <v>1.85</v>
      </c>
      <c r="BR16" s="251">
        <v>1.25</v>
      </c>
      <c r="BS16" s="251">
        <v>0.28299999999999997</v>
      </c>
      <c r="BT16" s="257">
        <v>2</v>
      </c>
      <c r="BU16" s="253">
        <f>((PI()*BR16*BS16/4)*(BP16^2-BQ16^2))*BT16</f>
        <v>4.9051698683291143</v>
      </c>
      <c r="BV16" s="254">
        <f>(((BU16/386.4)*(BP16^2+BQ16^2))/8)</f>
        <v>2.4869395303244061E-2</v>
      </c>
      <c r="BW16" s="255">
        <f ca="1">Ratio</f>
        <v>11.111000000000001</v>
      </c>
      <c r="BX16" s="256">
        <f ca="1">(BV16/(BW16^2))</f>
        <v>2.0144613085874941E-4</v>
      </c>
      <c r="BZ16" s="250" t="s">
        <v>585</v>
      </c>
      <c r="CA16" s="251">
        <v>3.5</v>
      </c>
      <c r="CB16" s="251">
        <v>1.85</v>
      </c>
      <c r="CC16" s="251">
        <v>1.25</v>
      </c>
      <c r="CD16" s="251">
        <v>0.28299999999999997</v>
      </c>
      <c r="CE16" s="257">
        <v>2</v>
      </c>
      <c r="CF16" s="253">
        <f>((PI()*CC16*CD16/4)*(CA16^2-CB16^2))*CE16</f>
        <v>4.9051698683291143</v>
      </c>
      <c r="CG16" s="254">
        <f>(((CF16/386.4)*(CA16^2+CB16^2))/8)</f>
        <v>2.4869395303244061E-2</v>
      </c>
      <c r="CH16" s="255">
        <f ca="1">Ratio</f>
        <v>11.111000000000001</v>
      </c>
      <c r="CI16" s="256">
        <f ca="1">(CG16/(CH16^2))</f>
        <v>2.0144613085874941E-4</v>
      </c>
      <c r="CK16" s="250" t="s">
        <v>588</v>
      </c>
      <c r="CL16" s="251">
        <v>3.125</v>
      </c>
      <c r="CM16" s="251">
        <v>2</v>
      </c>
      <c r="CN16" s="251">
        <v>1.5</v>
      </c>
      <c r="CO16" s="251">
        <v>0.28299999999999997</v>
      </c>
      <c r="CP16" s="257">
        <v>2</v>
      </c>
      <c r="CQ16" s="253">
        <f>((PI()*CN16*CO16/4)*(CL16^2-CM16^2))*CP16</f>
        <v>3.8445362816768123</v>
      </c>
      <c r="CR16" s="254">
        <f>(((CQ16/386.4)*(CL16^2+CM16^2))/8)</f>
        <v>1.7120356092280464E-2</v>
      </c>
      <c r="CS16" s="255">
        <f ca="1">(CL15/CL18)*Ratio</f>
        <v>12.261207039337476</v>
      </c>
      <c r="CT16" s="256">
        <f ca="1">(CR16/(CS16^2))</f>
        <v>1.1387970717185371E-4</v>
      </c>
      <c r="CV16" s="250" t="s">
        <v>589</v>
      </c>
      <c r="CW16" s="255">
        <v>5.83</v>
      </c>
      <c r="CX16" s="339">
        <v>2</v>
      </c>
      <c r="CY16" s="339">
        <v>2</v>
      </c>
      <c r="CZ16" s="251">
        <v>0.28299999999999997</v>
      </c>
      <c r="DA16" s="257">
        <v>2</v>
      </c>
      <c r="DB16" s="340">
        <f>((PI()*CY16*CZ16/4)*(CW16^2-CX16^2))*DA16</f>
        <v>26.662252943974618</v>
      </c>
      <c r="DC16" s="254">
        <f>(((DB16/386.4)*(CW16^2+CX16^2))/8)</f>
        <v>0.32766228676997849</v>
      </c>
      <c r="DD16" s="255">
        <f ca="1">Ratio</f>
        <v>11.111000000000001</v>
      </c>
      <c r="DE16" s="256">
        <f ca="1">(DC16/(DD16^2))</f>
        <v>2.654117604923512E-3</v>
      </c>
      <c r="DG16" s="250"/>
      <c r="DH16" s="339"/>
      <c r="DI16" s="339"/>
      <c r="DJ16" s="339"/>
      <c r="DK16" s="254"/>
      <c r="DL16" s="245"/>
      <c r="DM16" s="340"/>
      <c r="DN16" s="254"/>
      <c r="DO16" s="255"/>
      <c r="DP16" s="256"/>
      <c r="DR16" s="250"/>
      <c r="DS16" s="341">
        <v>5.75</v>
      </c>
      <c r="DT16" s="341">
        <v>0</v>
      </c>
      <c r="DU16" s="342">
        <v>2</v>
      </c>
      <c r="DV16" s="251">
        <v>0.28299999999999997</v>
      </c>
      <c r="DW16" s="257">
        <v>1</v>
      </c>
      <c r="DX16" s="340">
        <f t="shared" si="0"/>
        <v>14.697450355967721</v>
      </c>
      <c r="DY16" s="254">
        <f t="shared" si="1"/>
        <v>0.15719929231178276</v>
      </c>
      <c r="DZ16" s="341">
        <f t="shared" ca="1" si="2"/>
        <v>11.111000000000001</v>
      </c>
      <c r="EA16" s="256">
        <f t="shared" ca="1" si="3"/>
        <v>1.273339734392794E-3</v>
      </c>
    </row>
    <row r="17" spans="1:131" ht="15.75" x14ac:dyDescent="0.25">
      <c r="A17" s="250" t="s">
        <v>590</v>
      </c>
      <c r="B17" s="251">
        <v>4.88</v>
      </c>
      <c r="C17" s="251">
        <v>2.1875</v>
      </c>
      <c r="D17" s="251">
        <v>0.75</v>
      </c>
      <c r="E17" s="251">
        <v>0.28299999999999997</v>
      </c>
      <c r="F17" s="257">
        <v>1</v>
      </c>
      <c r="G17" s="253">
        <f>((PI()*D17*E17/4)*(B17^2-C17^2))*F17</f>
        <v>3.1721893987966054</v>
      </c>
      <c r="H17" s="254">
        <f>(((G17/386.4)*(B17^2+C17^2))/8)</f>
        <v>2.934886424253921E-2</v>
      </c>
      <c r="I17" s="255">
        <f ca="1">Ratio</f>
        <v>11.111000000000001</v>
      </c>
      <c r="J17" s="256">
        <f ca="1">(H17/(I17^2))</f>
        <v>2.3773055495189354E-4</v>
      </c>
      <c r="L17" s="250" t="s">
        <v>590</v>
      </c>
      <c r="M17" s="251">
        <v>4.88</v>
      </c>
      <c r="N17" s="251">
        <v>2.1875</v>
      </c>
      <c r="O17" s="251">
        <v>0.75</v>
      </c>
      <c r="P17" s="251">
        <v>0.28299999999999997</v>
      </c>
      <c r="Q17" s="257">
        <v>1</v>
      </c>
      <c r="R17" s="253">
        <f>((PI()*P17*O17/4)*(M17^2-N17^2))*Q17</f>
        <v>3.1721893987966054</v>
      </c>
      <c r="S17" s="254">
        <f>(((R17/386.4)*(M17^2+N17^2))/8)</f>
        <v>2.934886424253921E-2</v>
      </c>
      <c r="T17" s="255">
        <f ca="1">Ratio</f>
        <v>11.111000000000001</v>
      </c>
      <c r="U17" s="256">
        <f ca="1">(S17/(T17^2))</f>
        <v>2.3773055495189354E-4</v>
      </c>
      <c r="W17" s="250" t="s">
        <v>591</v>
      </c>
      <c r="X17" s="251">
        <v>4.88</v>
      </c>
      <c r="Y17" s="251">
        <v>2.1875</v>
      </c>
      <c r="Z17" s="251">
        <v>0.75</v>
      </c>
      <c r="AA17" s="251">
        <v>0.28299999999999997</v>
      </c>
      <c r="AB17" s="257">
        <v>1</v>
      </c>
      <c r="AC17" s="253">
        <f>((PI()*Z17*AA17/4)*(X17^2-Y17^2))*AB17</f>
        <v>3.1721893987966054</v>
      </c>
      <c r="AD17" s="254">
        <f>(((AC17/386.4)*(X17^2+Y17^2))/8)</f>
        <v>2.934886424253921E-2</v>
      </c>
      <c r="AE17" s="255">
        <f ca="1">Ratio</f>
        <v>11.111000000000001</v>
      </c>
      <c r="AF17" s="256">
        <f ca="1">(AD17/(AE17^2))</f>
        <v>2.3773055495189354E-4</v>
      </c>
      <c r="AH17" s="250" t="s">
        <v>592</v>
      </c>
      <c r="AI17" s="251">
        <v>4.88</v>
      </c>
      <c r="AJ17" s="251">
        <v>2.1875</v>
      </c>
      <c r="AK17" s="251">
        <v>0.75</v>
      </c>
      <c r="AL17" s="251">
        <v>0.28299999999999997</v>
      </c>
      <c r="AM17" s="257">
        <v>1</v>
      </c>
      <c r="AN17" s="253">
        <f>((PI()*AK17*AL17/4)*(AI17^2-AJ17^2))*AM17</f>
        <v>3.1721893987966054</v>
      </c>
      <c r="AO17" s="254">
        <f>(((AN17/386.4)*(AI17^2+AJ17^2))/8)</f>
        <v>2.934886424253921E-2</v>
      </c>
      <c r="AP17" s="255">
        <f ca="1">Ratio</f>
        <v>11.111000000000001</v>
      </c>
      <c r="AQ17" s="256">
        <f ca="1">(AO17/(AP17^2))</f>
        <v>2.3773055495189354E-4</v>
      </c>
      <c r="AS17" s="250"/>
      <c r="AT17" s="251"/>
      <c r="AU17" s="251"/>
      <c r="AV17" s="251"/>
      <c r="AW17" s="251"/>
      <c r="AX17" s="245"/>
      <c r="AY17" s="253"/>
      <c r="AZ17" s="254"/>
      <c r="BA17" s="251"/>
      <c r="BB17" s="256"/>
      <c r="BD17" s="250"/>
      <c r="BE17" s="251"/>
      <c r="BF17" s="251"/>
      <c r="BG17" s="251"/>
      <c r="BH17" s="251"/>
      <c r="BI17" s="245"/>
      <c r="BJ17" s="253"/>
      <c r="BK17" s="254"/>
      <c r="BL17" s="251"/>
      <c r="BM17" s="245"/>
      <c r="BO17" s="250"/>
      <c r="BP17" s="251"/>
      <c r="BQ17" s="251"/>
      <c r="BR17" s="251"/>
      <c r="BS17" s="251"/>
      <c r="BT17" s="245"/>
      <c r="BU17" s="253"/>
      <c r="BV17" s="254"/>
      <c r="BW17" s="245"/>
      <c r="BX17" s="245"/>
      <c r="BZ17" s="250"/>
      <c r="CA17" s="251"/>
      <c r="CB17" s="251"/>
      <c r="CC17" s="251"/>
      <c r="CD17" s="251"/>
      <c r="CE17" s="245"/>
      <c r="CF17" s="253"/>
      <c r="CG17" s="254"/>
      <c r="CH17" s="245"/>
      <c r="CI17" s="245"/>
      <c r="CK17" s="250"/>
      <c r="CL17" s="251"/>
      <c r="CM17" s="251"/>
      <c r="CN17" s="251"/>
      <c r="CO17" s="251"/>
      <c r="CP17" s="245"/>
      <c r="CQ17" s="253"/>
      <c r="CR17" s="254"/>
      <c r="CS17" s="255"/>
      <c r="CT17" s="256"/>
      <c r="CV17" s="250" t="s">
        <v>593</v>
      </c>
      <c r="CW17" s="255">
        <v>3.25</v>
      </c>
      <c r="CX17" s="339">
        <v>2</v>
      </c>
      <c r="CY17" s="339">
        <v>2</v>
      </c>
      <c r="CZ17" s="251">
        <v>0.28299999999999997</v>
      </c>
      <c r="DA17" s="257">
        <v>2</v>
      </c>
      <c r="DB17" s="340">
        <f>((PI()*CY17*CZ17/4)*(CW17^2-CX17^2))*DA17</f>
        <v>5.8345266063387928</v>
      </c>
      <c r="DC17" s="254">
        <f>(((DB17/386.4)*(CW17^2+CX17^2))/8)</f>
        <v>2.748618455771502E-2</v>
      </c>
      <c r="DD17" s="255">
        <f ca="1">Ratio</f>
        <v>11.111000000000001</v>
      </c>
      <c r="DE17" s="256">
        <f ca="1">(DC17/(DD17^2))</f>
        <v>2.2264254774618229E-4</v>
      </c>
      <c r="DG17" s="250" t="s">
        <v>594</v>
      </c>
      <c r="DH17" s="339">
        <v>5.33</v>
      </c>
      <c r="DI17" s="339">
        <v>2</v>
      </c>
      <c r="DJ17" s="339">
        <v>1.75</v>
      </c>
      <c r="DK17" s="254">
        <v>0.28299999999999997</v>
      </c>
      <c r="DL17" s="257">
        <v>2</v>
      </c>
      <c r="DM17" s="340">
        <f>((PI()*DJ17*DK17/4)*(DH17^2-DI17^2))*DL17</f>
        <v>18.988583530861728</v>
      </c>
      <c r="DN17" s="254">
        <f>(((DM17/386.4)*(DH17^2+DI17^2))/8)</f>
        <v>0.19908097334153232</v>
      </c>
      <c r="DO17" s="255">
        <f ca="1">(DH20/DH17)*Ratio</f>
        <v>13.195615384615385</v>
      </c>
      <c r="DP17" s="256">
        <f ca="1">(DN17/(DO17^2))</f>
        <v>1.1433269964330154E-3</v>
      </c>
      <c r="DR17" s="250"/>
      <c r="DS17" s="341"/>
      <c r="DT17" s="341"/>
      <c r="DU17" s="258"/>
      <c r="DV17" s="343"/>
      <c r="DW17" s="245"/>
      <c r="DX17" s="340"/>
      <c r="DY17" s="254"/>
      <c r="DZ17" s="341"/>
      <c r="EA17" s="256"/>
    </row>
    <row r="18" spans="1:131" ht="15.75" x14ac:dyDescent="0.25">
      <c r="A18" s="250"/>
      <c r="B18" s="251"/>
      <c r="C18" s="251"/>
      <c r="D18" s="251"/>
      <c r="E18" s="251"/>
      <c r="F18" s="245"/>
      <c r="G18" s="253"/>
      <c r="H18" s="254"/>
      <c r="I18" s="255"/>
      <c r="J18" s="256"/>
      <c r="L18" s="250"/>
      <c r="M18" s="251"/>
      <c r="N18" s="251"/>
      <c r="O18" s="251"/>
      <c r="P18" s="251"/>
      <c r="Q18" s="245"/>
      <c r="R18" s="253"/>
      <c r="S18" s="254"/>
      <c r="T18" s="255"/>
      <c r="U18" s="256"/>
      <c r="W18" s="250"/>
      <c r="X18" s="251"/>
      <c r="Y18" s="251"/>
      <c r="Z18" s="251"/>
      <c r="AA18" s="251"/>
      <c r="AB18" s="245"/>
      <c r="AC18" s="253"/>
      <c r="AD18" s="254"/>
      <c r="AE18" s="255"/>
      <c r="AF18" s="256"/>
      <c r="AH18" s="250"/>
      <c r="AI18" s="251"/>
      <c r="AJ18" s="251"/>
      <c r="AK18" s="251"/>
      <c r="AL18" s="251"/>
      <c r="AM18" s="245"/>
      <c r="AN18" s="253"/>
      <c r="AO18" s="254"/>
      <c r="AP18" s="245"/>
      <c r="AQ18" s="245"/>
      <c r="AS18" s="250" t="s">
        <v>587</v>
      </c>
      <c r="AT18" s="251">
        <v>8.9629999999999992</v>
      </c>
      <c r="AU18" s="251">
        <v>7.9</v>
      </c>
      <c r="AV18" s="251">
        <v>1.22</v>
      </c>
      <c r="AW18" s="251">
        <v>0.28299999999999997</v>
      </c>
      <c r="AX18" s="257">
        <v>1</v>
      </c>
      <c r="AY18" s="253">
        <f>((PI()*AV18*AW18/4)*(AT18^2-AU18^2))*AX18</f>
        <v>4.8607608258250448</v>
      </c>
      <c r="AZ18" s="254">
        <f>(((AY18/386.4)*(AT18^2+AU18^2))/8)</f>
        <v>0.22446011183460815</v>
      </c>
      <c r="BA18" s="251">
        <f ca="1">Ratio</f>
        <v>11.111000000000001</v>
      </c>
      <c r="BB18" s="256">
        <f ca="1">(AZ18/(BA18^2))</f>
        <v>1.8181632689438882E-3</v>
      </c>
      <c r="BD18" s="250" t="s">
        <v>587</v>
      </c>
      <c r="BE18" s="251">
        <v>11.154</v>
      </c>
      <c r="BF18" s="251">
        <v>7.9</v>
      </c>
      <c r="BG18" s="251">
        <v>1.22</v>
      </c>
      <c r="BH18" s="251">
        <v>0.28299999999999997</v>
      </c>
      <c r="BI18" s="257">
        <v>1</v>
      </c>
      <c r="BJ18" s="253">
        <f>((PI()*BG18*BH18/4)*(BE18^2-BF18^2))*BI18</f>
        <v>16.812792655299322</v>
      </c>
      <c r="BK18" s="254">
        <f>(((BJ18/386.4)*(BE18^2+BF18^2))/8)</f>
        <v>1.0161085580406366</v>
      </c>
      <c r="BL18" s="251">
        <f ca="1">Ratio</f>
        <v>11.111000000000001</v>
      </c>
      <c r="BM18" s="256">
        <f ca="1">(BK18/(BL18^2))</f>
        <v>8.2306439321847349E-3</v>
      </c>
      <c r="BO18" s="250" t="s">
        <v>587</v>
      </c>
      <c r="BP18" s="251">
        <v>8.9629999999999992</v>
      </c>
      <c r="BQ18" s="251">
        <v>7.9</v>
      </c>
      <c r="BR18" s="251">
        <v>1.22</v>
      </c>
      <c r="BS18" s="251">
        <v>0.28299999999999997</v>
      </c>
      <c r="BT18" s="257">
        <v>1</v>
      </c>
      <c r="BU18" s="253">
        <f>((PI()*BR18*BS18/4)*(BP18^2-BQ18^2))*BT18</f>
        <v>4.8607608258250448</v>
      </c>
      <c r="BV18" s="254">
        <f>(((BU18/386.4)*(BP18^2+BQ18^2))/8)</f>
        <v>0.22446011183460815</v>
      </c>
      <c r="BW18" s="255">
        <f ca="1">Ratio</f>
        <v>11.111000000000001</v>
      </c>
      <c r="BX18" s="256">
        <f ca="1">(BV18/(BW18^2))</f>
        <v>1.8181632689438882E-3</v>
      </c>
      <c r="BZ18" s="250" t="s">
        <v>587</v>
      </c>
      <c r="CA18" s="251">
        <v>11.154</v>
      </c>
      <c r="CB18" s="251">
        <v>7.9</v>
      </c>
      <c r="CC18" s="251">
        <v>1.22</v>
      </c>
      <c r="CD18" s="251">
        <v>0.28299999999999997</v>
      </c>
      <c r="CE18" s="257">
        <v>1</v>
      </c>
      <c r="CF18" s="253">
        <f>((PI()*CC18*CD18/4)*(CA18^2-CB18^2))*CE18</f>
        <v>16.812792655299322</v>
      </c>
      <c r="CG18" s="254">
        <f>(((CF18/386.4)*(CA18^2+CB18^2))/8)</f>
        <v>1.0161085580406366</v>
      </c>
      <c r="CH18" s="255">
        <f ca="1">Ratio</f>
        <v>11.111000000000001</v>
      </c>
      <c r="CI18" s="256">
        <f ca="1">(CG18/(CH18^2))</f>
        <v>8.2306439321847349E-3</v>
      </c>
      <c r="CK18" s="250" t="s">
        <v>595</v>
      </c>
      <c r="CL18" s="251">
        <v>4.83</v>
      </c>
      <c r="CM18" s="251">
        <v>2</v>
      </c>
      <c r="CN18" s="251">
        <v>2</v>
      </c>
      <c r="CO18" s="251">
        <v>0.28299999999999997</v>
      </c>
      <c r="CP18" s="257">
        <v>2</v>
      </c>
      <c r="CQ18" s="253">
        <f>((PI()*CN18*CO18/4)*(CL18^2-CM18^2))*CP18</f>
        <v>17.184759058478004</v>
      </c>
      <c r="CR18" s="254">
        <f>(((CQ18/386.4)*(CL18^2+CM18^2))/8)</f>
        <v>0.15192823558269913</v>
      </c>
      <c r="CS18" s="255">
        <f ca="1">Ratio</f>
        <v>11.111000000000001</v>
      </c>
      <c r="CT18" s="256">
        <f ca="1">(CR18/(CS18^2))</f>
        <v>1.2306433209632176E-3</v>
      </c>
      <c r="CV18" s="250"/>
      <c r="CW18" s="255"/>
      <c r="CX18" s="339"/>
      <c r="CY18" s="339"/>
      <c r="CZ18" s="251"/>
      <c r="DA18" s="245"/>
      <c r="DB18" s="340"/>
      <c r="DC18" s="254"/>
      <c r="DD18" s="255"/>
      <c r="DE18" s="256"/>
      <c r="DG18" s="250" t="s">
        <v>593</v>
      </c>
      <c r="DH18" s="339">
        <v>3.125</v>
      </c>
      <c r="DI18" s="339">
        <v>2</v>
      </c>
      <c r="DJ18" s="339">
        <v>1.75</v>
      </c>
      <c r="DK18" s="254">
        <v>0.28299999999999997</v>
      </c>
      <c r="DL18" s="257">
        <v>2</v>
      </c>
      <c r="DM18" s="340">
        <f>((PI()*DJ18*DK18/4)*(DH18^2-DI18^2))*DL18</f>
        <v>4.4852923286229469</v>
      </c>
      <c r="DN18" s="254">
        <f>(((DM18/386.4)*(DH18^2+DI18^2))/8)</f>
        <v>1.9973748774327206E-2</v>
      </c>
      <c r="DO18" s="255">
        <f ca="1">(DH20/DH17)*Ratio</f>
        <v>13.195615384615385</v>
      </c>
      <c r="DP18" s="256">
        <f ca="1">(DN18/(DO18^2))</f>
        <v>1.1470973750204678E-4</v>
      </c>
      <c r="DR18" s="250" t="s">
        <v>596</v>
      </c>
      <c r="DS18" s="341">
        <v>6.33</v>
      </c>
      <c r="DT18" s="341">
        <v>1.75</v>
      </c>
      <c r="DU18" s="342">
        <v>2</v>
      </c>
      <c r="DV18" s="251">
        <v>0.28299999999999997</v>
      </c>
      <c r="DW18" s="257">
        <v>2</v>
      </c>
      <c r="DX18" s="340">
        <f>((PI()*DU18*DV18/4)*(DS18^2-DT18^2))*DW18</f>
        <v>32.9013067283529</v>
      </c>
      <c r="DY18" s="254">
        <f>(((DX18/386.4)*(DS18^2+DT18^2))/8)</f>
        <v>0.45907072367471541</v>
      </c>
      <c r="DZ18" s="341">
        <f ca="1">Ratio</f>
        <v>11.111000000000001</v>
      </c>
      <c r="EA18" s="256">
        <f ca="1">(DY18/(DZ18^2))</f>
        <v>3.7185472323379861E-3</v>
      </c>
    </row>
    <row r="19" spans="1:131" ht="15.75" x14ac:dyDescent="0.25">
      <c r="A19" s="250" t="s">
        <v>597</v>
      </c>
      <c r="B19" s="251">
        <v>3.1875</v>
      </c>
      <c r="C19" s="251">
        <v>1</v>
      </c>
      <c r="D19" s="251">
        <v>0.4375</v>
      </c>
      <c r="E19" s="251">
        <v>0.28299999999999997</v>
      </c>
      <c r="F19" s="257">
        <v>1</v>
      </c>
      <c r="G19" s="253">
        <f>((PI()*D19*E19/4)*(B19^2-C19^2))*F19</f>
        <v>0.89075292264742645</v>
      </c>
      <c r="H19" s="254">
        <f>(((G19/386.4)*(B19^2+C19^2))/8)</f>
        <v>3.2158843804637178E-3</v>
      </c>
      <c r="I19" s="255">
        <f ca="1">Ratio</f>
        <v>11.111000000000001</v>
      </c>
      <c r="J19" s="256">
        <f ca="1">(H19/(I19^2))</f>
        <v>2.604918446284045E-5</v>
      </c>
      <c r="L19" s="250" t="s">
        <v>597</v>
      </c>
      <c r="M19" s="251">
        <v>3.1875</v>
      </c>
      <c r="N19" s="251">
        <v>1</v>
      </c>
      <c r="O19" s="251">
        <v>0.4375</v>
      </c>
      <c r="P19" s="251">
        <v>0.28299999999999997</v>
      </c>
      <c r="Q19" s="257">
        <v>1</v>
      </c>
      <c r="R19" s="253">
        <f>((PI()*P19*O19/4)*(M19^2-N19^2))*Q19</f>
        <v>0.89075292264742645</v>
      </c>
      <c r="S19" s="254">
        <f>(((R19/386.4)*(M19^2+N19^2))/8)</f>
        <v>3.2158843804637178E-3</v>
      </c>
      <c r="T19" s="255">
        <f ca="1">Ratio</f>
        <v>11.111000000000001</v>
      </c>
      <c r="U19" s="256">
        <f ca="1">(S19/(T19^2))</f>
        <v>2.604918446284045E-5</v>
      </c>
      <c r="W19" s="250" t="s">
        <v>597</v>
      </c>
      <c r="X19" s="251">
        <v>3.1875</v>
      </c>
      <c r="Y19" s="251">
        <v>1</v>
      </c>
      <c r="Z19" s="251">
        <v>0.4375</v>
      </c>
      <c r="AA19" s="251">
        <v>0.28299999999999997</v>
      </c>
      <c r="AB19" s="257">
        <v>1</v>
      </c>
      <c r="AC19" s="253">
        <f>((PI()*Z19*AA19/4)*(X19^2-Y19^2))*AB19</f>
        <v>0.89075292264742645</v>
      </c>
      <c r="AD19" s="254">
        <f>(((AC19/386.4)*(X19^2+Y19^2))/8)</f>
        <v>3.2158843804637178E-3</v>
      </c>
      <c r="AE19" s="255">
        <f ca="1">Ratio</f>
        <v>11.111000000000001</v>
      </c>
      <c r="AF19" s="256">
        <f ca="1">(AD19/(AE19^2))</f>
        <v>2.604918446284045E-5</v>
      </c>
      <c r="AH19" s="250" t="s">
        <v>597</v>
      </c>
      <c r="AI19" s="251">
        <v>3.1875</v>
      </c>
      <c r="AJ19" s="251">
        <v>1</v>
      </c>
      <c r="AK19" s="251">
        <v>0.4375</v>
      </c>
      <c r="AL19" s="251">
        <v>0.28299999999999997</v>
      </c>
      <c r="AM19" s="257">
        <v>1</v>
      </c>
      <c r="AN19" s="253">
        <f>((PI()*AK19*AL19/4)*(AI19^2-AJ19^2))*AM19</f>
        <v>0.89075292264742645</v>
      </c>
      <c r="AO19" s="254">
        <f>(((AN19/386.4)*(AI19^2+AJ19^2))/8)</f>
        <v>3.2158843804637178E-3</v>
      </c>
      <c r="AP19" s="255">
        <f ca="1">Ratio</f>
        <v>11.111000000000001</v>
      </c>
      <c r="AQ19" s="256">
        <f ca="1">(AO19/(AP19^2))</f>
        <v>2.604918446284045E-5</v>
      </c>
      <c r="AS19" s="250" t="s">
        <v>598</v>
      </c>
      <c r="AT19" s="251">
        <v>7.9</v>
      </c>
      <c r="AU19" s="251">
        <v>2.1880000000000002</v>
      </c>
      <c r="AV19" s="251">
        <v>0.87</v>
      </c>
      <c r="AW19" s="251">
        <v>0.28299999999999997</v>
      </c>
      <c r="AX19" s="257">
        <v>1</v>
      </c>
      <c r="AY19" s="253">
        <f>((PI()*AV19*AW19/4)*(AT19^2-AU19^2))*AX19</f>
        <v>11.142659048271227</v>
      </c>
      <c r="AZ19" s="254">
        <f>(((AY19/386.4)*(AT19^2+AU19^2))/8)</f>
        <v>0.2422221445203786</v>
      </c>
      <c r="BA19" s="251">
        <f ca="1">Ratio</f>
        <v>11.111000000000001</v>
      </c>
      <c r="BB19" s="256">
        <f ca="1">(AZ19/(BA19^2))</f>
        <v>1.9620386111910862E-3</v>
      </c>
      <c r="BD19" s="250" t="s">
        <v>599</v>
      </c>
      <c r="BE19" s="251">
        <v>7.9</v>
      </c>
      <c r="BF19" s="251">
        <v>2.1880000000000002</v>
      </c>
      <c r="BG19" s="251">
        <v>0.87</v>
      </c>
      <c r="BH19" s="251">
        <v>0.28299999999999997</v>
      </c>
      <c r="BI19" s="257">
        <v>1</v>
      </c>
      <c r="BJ19" s="253">
        <f>((PI()*BG19*BH19/4)*(BE19^2-BF19^2))*BI19</f>
        <v>11.142659048271227</v>
      </c>
      <c r="BK19" s="254">
        <f>(((BJ19/386.4)*(BE19^2+BF19^2))/8)</f>
        <v>0.2422221445203786</v>
      </c>
      <c r="BL19" s="251">
        <f ca="1">Ratio</f>
        <v>11.111000000000001</v>
      </c>
      <c r="BM19" s="256">
        <f ca="1">(BK19/(BL19^2))</f>
        <v>1.9620386111910862E-3</v>
      </c>
      <c r="BO19" s="250" t="s">
        <v>598</v>
      </c>
      <c r="BP19" s="251">
        <v>7.9</v>
      </c>
      <c r="BQ19" s="251">
        <v>2.1875</v>
      </c>
      <c r="BR19" s="251">
        <v>0.87</v>
      </c>
      <c r="BS19" s="251">
        <v>0.28299999999999997</v>
      </c>
      <c r="BT19" s="257">
        <v>1</v>
      </c>
      <c r="BU19" s="253">
        <f>((PI()*BR19*BS19/4)*(BP19^2-BQ19^2))*BT19</f>
        <v>11.143082099793407</v>
      </c>
      <c r="BV19" s="254">
        <f>(((BU19/386.4)*(BP19^2+BQ19^2))/8)</f>
        <v>0.24222345458145575</v>
      </c>
      <c r="BW19" s="255">
        <f ca="1">Ratio</f>
        <v>11.111000000000001</v>
      </c>
      <c r="BX19" s="256">
        <f ca="1">(BV19/(BW19^2))</f>
        <v>1.9620492228980442E-3</v>
      </c>
      <c r="BZ19" s="250" t="s">
        <v>599</v>
      </c>
      <c r="CA19" s="251">
        <v>7.9</v>
      </c>
      <c r="CB19" s="251">
        <v>2.1875</v>
      </c>
      <c r="CC19" s="251">
        <v>0.87</v>
      </c>
      <c r="CD19" s="251">
        <v>0.28299999999999997</v>
      </c>
      <c r="CE19" s="257">
        <v>1</v>
      </c>
      <c r="CF19" s="253">
        <f>((PI()*CC19*CD19/4)*(CA19^2-CB19^2))*CE19</f>
        <v>11.143082099793407</v>
      </c>
      <c r="CG19" s="254">
        <f>(((CF19/386.4)*(CA19^2+CB19^2))/8)</f>
        <v>0.24222345458145575</v>
      </c>
      <c r="CH19" s="255">
        <f ca="1">Ratio</f>
        <v>11.111000000000001</v>
      </c>
      <c r="CI19" s="256">
        <f ca="1">(CG19/(CH19^2))</f>
        <v>1.9620492228980442E-3</v>
      </c>
      <c r="CK19" s="250" t="s">
        <v>600</v>
      </c>
      <c r="CL19" s="251">
        <v>3</v>
      </c>
      <c r="CM19" s="251">
        <v>2</v>
      </c>
      <c r="CN19" s="251">
        <v>1.5</v>
      </c>
      <c r="CO19" s="251">
        <v>0.28299999999999997</v>
      </c>
      <c r="CP19" s="257">
        <v>2</v>
      </c>
      <c r="CQ19" s="253">
        <f>((PI()*CN19*CO19/4)*(CL19^2-CM19^2))*CP19</f>
        <v>3.3340152036221675</v>
      </c>
      <c r="CR19" s="254">
        <f>(((CQ19/386.4)*(CL19^2+CM19^2))/8)</f>
        <v>1.4021156071133597E-2</v>
      </c>
      <c r="CS19" s="255">
        <f ca="1">Ratio</f>
        <v>11.111000000000001</v>
      </c>
      <c r="CT19" s="256">
        <f ca="1">(CR19/(CS19^2))</f>
        <v>1.1357363563753751E-4</v>
      </c>
      <c r="CV19" s="250" t="s">
        <v>601</v>
      </c>
      <c r="CW19" s="255">
        <v>5.33</v>
      </c>
      <c r="CX19" s="339">
        <v>1.75</v>
      </c>
      <c r="CY19" s="339">
        <v>2</v>
      </c>
      <c r="CZ19" s="251">
        <v>0.28299999999999997</v>
      </c>
      <c r="DA19" s="257">
        <v>2</v>
      </c>
      <c r="DB19" s="340">
        <f>((PI()*CY19*CZ19/4)*(CW19^2-CX19^2))*DA19</f>
        <v>22.534742121890375</v>
      </c>
      <c r="DC19" s="254">
        <f>(((DB19/386.4)*(CW19^2+CX19^2))/8)</f>
        <v>0.22942542805863766</v>
      </c>
      <c r="DD19" s="255">
        <f ca="1">(CW19/CW16)*Ratio</f>
        <v>10.158084048027444</v>
      </c>
      <c r="DE19" s="256">
        <f ca="1">(DC19/(DD19^2))</f>
        <v>2.2234017694724609E-3</v>
      </c>
      <c r="DG19" s="250"/>
      <c r="DH19" s="339"/>
      <c r="DI19" s="339"/>
      <c r="DJ19" s="339"/>
      <c r="DK19" s="254"/>
      <c r="DL19" s="245"/>
      <c r="DM19" s="340"/>
      <c r="DN19" s="254"/>
      <c r="DO19" s="255"/>
      <c r="DP19" s="256"/>
      <c r="DR19" s="250" t="s">
        <v>593</v>
      </c>
      <c r="DS19" s="341">
        <v>3.375</v>
      </c>
      <c r="DT19" s="341">
        <v>1.75</v>
      </c>
      <c r="DU19" s="342">
        <v>1.5</v>
      </c>
      <c r="DV19" s="251">
        <v>0.28299999999999997</v>
      </c>
      <c r="DW19" s="257">
        <v>2</v>
      </c>
      <c r="DX19" s="340">
        <f>((PI()*DU19*DV19/4)*(DS19^2-DT19^2))*DW19</f>
        <v>5.5532190735331728</v>
      </c>
      <c r="DY19" s="254">
        <f>(((DX19/386.4)*(DS19^2+DT19^2))/8)</f>
        <v>2.5964469921764734E-2</v>
      </c>
      <c r="DZ19" s="341">
        <f ca="1">Ratio</f>
        <v>11.111000000000001</v>
      </c>
      <c r="EA19" s="256">
        <f ca="1">(DY19/(DZ19^2))</f>
        <v>2.1031641267351615E-4</v>
      </c>
    </row>
    <row r="20" spans="1:131" ht="15.75" x14ac:dyDescent="0.25">
      <c r="A20" s="250" t="s">
        <v>602</v>
      </c>
      <c r="B20" s="251">
        <v>2.1875</v>
      </c>
      <c r="C20" s="251">
        <v>1</v>
      </c>
      <c r="D20" s="251">
        <v>0.875</v>
      </c>
      <c r="E20" s="251">
        <v>0.28299999999999997</v>
      </c>
      <c r="F20" s="257">
        <v>1</v>
      </c>
      <c r="G20" s="253">
        <f>((PI()*D20*E20/4)*(B20^2-C20^2))*F20</f>
        <v>0.73615316165915246</v>
      </c>
      <c r="H20" s="254">
        <f>(((G20/386.4)*(B20^2+C20^2))/8)</f>
        <v>1.3777047955906142E-3</v>
      </c>
      <c r="I20" s="255">
        <f ca="1">Ratio</f>
        <v>11.111000000000001</v>
      </c>
      <c r="J20" s="256">
        <f ca="1">(H20/(I20^2))</f>
        <v>1.1159632035808726E-5</v>
      </c>
      <c r="L20" s="250" t="s">
        <v>602</v>
      </c>
      <c r="M20" s="251">
        <v>2.1875</v>
      </c>
      <c r="N20" s="251">
        <v>1</v>
      </c>
      <c r="O20" s="251">
        <v>0.875</v>
      </c>
      <c r="P20" s="251">
        <v>0.28299999999999997</v>
      </c>
      <c r="Q20" s="257">
        <v>1</v>
      </c>
      <c r="R20" s="253">
        <f>((PI()*P20*O20/4)*(M20^2-N20^2))*Q20</f>
        <v>0.73615316165915246</v>
      </c>
      <c r="S20" s="254">
        <f>(((R20/386.4)*(M20^2+N20^2))/8)</f>
        <v>1.3777047955906142E-3</v>
      </c>
      <c r="T20" s="255">
        <f ca="1">Ratio</f>
        <v>11.111000000000001</v>
      </c>
      <c r="U20" s="256">
        <f ca="1">(S20/(T20^2))</f>
        <v>1.1159632035808726E-5</v>
      </c>
      <c r="W20" s="250" t="s">
        <v>602</v>
      </c>
      <c r="X20" s="251">
        <v>2.1875</v>
      </c>
      <c r="Y20" s="251">
        <v>1</v>
      </c>
      <c r="Z20" s="251">
        <v>0.875</v>
      </c>
      <c r="AA20" s="251">
        <v>0.28299999999999997</v>
      </c>
      <c r="AB20" s="257">
        <v>1</v>
      </c>
      <c r="AC20" s="253">
        <f>((PI()*Z20*AA20/4)*(X20^2-Y20^2))*AB20</f>
        <v>0.73615316165915246</v>
      </c>
      <c r="AD20" s="254">
        <f>(((AC20/386.4)*(X20^2+Y20^2))/8)</f>
        <v>1.3777047955906142E-3</v>
      </c>
      <c r="AE20" s="255">
        <f ca="1">Ratio</f>
        <v>11.111000000000001</v>
      </c>
      <c r="AF20" s="256">
        <f ca="1">(AD20/(AE20^2))</f>
        <v>1.1159632035808726E-5</v>
      </c>
      <c r="AH20" s="250" t="s">
        <v>602</v>
      </c>
      <c r="AI20" s="251">
        <v>2.1875</v>
      </c>
      <c r="AJ20" s="251">
        <v>1</v>
      </c>
      <c r="AK20" s="251">
        <v>0.875</v>
      </c>
      <c r="AL20" s="251">
        <v>0.28299999999999997</v>
      </c>
      <c r="AM20" s="257">
        <v>1</v>
      </c>
      <c r="AN20" s="253">
        <f>((PI()*AK20*AL20/4)*(AI20^2-AJ20^2))*AM20</f>
        <v>0.73615316165915246</v>
      </c>
      <c r="AO20" s="254">
        <f>(((AN20/386.4)*(AI20^2+AJ20^2))/8)</f>
        <v>1.3777047955906142E-3</v>
      </c>
      <c r="AP20" s="255">
        <f ca="1">Ratio</f>
        <v>11.111000000000001</v>
      </c>
      <c r="AQ20" s="256">
        <f ca="1">(AO20/(AP20^2))</f>
        <v>1.1159632035808726E-5</v>
      </c>
      <c r="AS20" s="250"/>
      <c r="AT20" s="251"/>
      <c r="AU20" s="251"/>
      <c r="AV20" s="251"/>
      <c r="AW20" s="251"/>
      <c r="AX20" s="245"/>
      <c r="AY20" s="253"/>
      <c r="AZ20" s="254"/>
      <c r="BA20" s="251"/>
      <c r="BB20" s="256"/>
      <c r="BD20" s="250"/>
      <c r="BE20" s="251"/>
      <c r="BF20" s="251"/>
      <c r="BG20" s="251"/>
      <c r="BH20" s="251"/>
      <c r="BI20" s="245"/>
      <c r="BJ20" s="253"/>
      <c r="BK20" s="254"/>
      <c r="BL20" s="251"/>
      <c r="BM20" s="245"/>
      <c r="BO20" s="250"/>
      <c r="BP20" s="251"/>
      <c r="BQ20" s="251"/>
      <c r="BR20" s="251"/>
      <c r="BS20" s="251"/>
      <c r="BT20" s="257"/>
      <c r="BU20" s="344"/>
      <c r="BV20" s="254"/>
      <c r="BW20" s="255"/>
      <c r="BX20" s="256"/>
      <c r="BZ20" s="250"/>
      <c r="CA20" s="251"/>
      <c r="CB20" s="251"/>
      <c r="CC20" s="251"/>
      <c r="CD20" s="251"/>
      <c r="CE20" s="257"/>
      <c r="CF20" s="344"/>
      <c r="CG20" s="254"/>
      <c r="CH20" s="255"/>
      <c r="CI20" s="256"/>
      <c r="CK20" s="250"/>
      <c r="CL20" s="251"/>
      <c r="CM20" s="251"/>
      <c r="CN20" s="251"/>
      <c r="CO20" s="251"/>
      <c r="CP20" s="245"/>
      <c r="CQ20" s="253"/>
      <c r="CR20" s="254"/>
      <c r="CS20" s="245"/>
      <c r="CT20" s="245"/>
      <c r="CV20" s="250" t="s">
        <v>593</v>
      </c>
      <c r="CW20" s="255">
        <v>3.125</v>
      </c>
      <c r="CX20" s="339">
        <v>1.75</v>
      </c>
      <c r="CY20" s="339">
        <v>2</v>
      </c>
      <c r="CZ20" s="251">
        <v>0.28299999999999997</v>
      </c>
      <c r="DA20" s="257">
        <v>2</v>
      </c>
      <c r="DB20" s="340">
        <f>((PI()*CY20*CZ20/4)*(CW20^2-CX20^2))*DA20</f>
        <v>5.9595521764746247</v>
      </c>
      <c r="DC20" s="254">
        <f>(((DB20/386.4)*(CW20^2+CX20^2))/8)</f>
        <v>2.4731457124688973E-2</v>
      </c>
      <c r="DD20" s="255">
        <f ca="1">(CW19/CW16)*Ratio</f>
        <v>10.158084048027444</v>
      </c>
      <c r="DE20" s="256">
        <f ca="1">(DC20/(DD20^2))</f>
        <v>2.3967685708583129E-4</v>
      </c>
      <c r="DG20" s="250" t="s">
        <v>603</v>
      </c>
      <c r="DH20" s="339">
        <v>6.33</v>
      </c>
      <c r="DI20" s="339">
        <v>1.75</v>
      </c>
      <c r="DJ20" s="339">
        <v>1.75</v>
      </c>
      <c r="DK20" s="254">
        <v>0.28299999999999997</v>
      </c>
      <c r="DL20" s="257">
        <v>2</v>
      </c>
      <c r="DM20" s="340">
        <f>((PI()*DJ20*DK20/4)*(DH20^2-DI20^2))*DL20</f>
        <v>28.788643387308788</v>
      </c>
      <c r="DN20" s="254">
        <f>(((DM20/386.4)*(DH20^2+DI20^2))/8)</f>
        <v>0.40168688321537599</v>
      </c>
      <c r="DO20" s="255">
        <f ca="1">Ratio</f>
        <v>11.111000000000001</v>
      </c>
      <c r="DP20" s="256">
        <f ca="1">(DN20/(DO20^2))</f>
        <v>3.253728828295738E-3</v>
      </c>
      <c r="DR20" s="250"/>
      <c r="DS20" s="341"/>
      <c r="DT20" s="341"/>
      <c r="DU20" s="258"/>
      <c r="DV20" s="251"/>
      <c r="DW20" s="245"/>
      <c r="DX20" s="340"/>
      <c r="DY20" s="254"/>
      <c r="DZ20" s="341"/>
      <c r="EA20" s="256"/>
    </row>
    <row r="21" spans="1:131" ht="15.75" x14ac:dyDescent="0.25">
      <c r="A21" s="250"/>
      <c r="B21" s="251"/>
      <c r="C21" s="251"/>
      <c r="D21" s="251"/>
      <c r="E21" s="251"/>
      <c r="F21" s="245"/>
      <c r="G21" s="253"/>
      <c r="H21" s="254"/>
      <c r="I21" s="245"/>
      <c r="J21" s="256"/>
      <c r="L21" s="250"/>
      <c r="M21" s="251"/>
      <c r="N21" s="251"/>
      <c r="O21" s="251"/>
      <c r="P21" s="251"/>
      <c r="Q21" s="245"/>
      <c r="R21" s="253"/>
      <c r="S21" s="254"/>
      <c r="T21" s="245"/>
      <c r="U21" s="256"/>
      <c r="W21" s="250"/>
      <c r="X21" s="251"/>
      <c r="Y21" s="251"/>
      <c r="Z21" s="251"/>
      <c r="AA21" s="251"/>
      <c r="AB21" s="245"/>
      <c r="AC21" s="253"/>
      <c r="AD21" s="254"/>
      <c r="AE21" s="245"/>
      <c r="AF21" s="256"/>
      <c r="AH21" s="250"/>
      <c r="AI21" s="251"/>
      <c r="AJ21" s="251"/>
      <c r="AK21" s="251"/>
      <c r="AL21" s="251"/>
      <c r="AM21" s="245"/>
      <c r="AN21" s="253"/>
      <c r="AO21" s="254"/>
      <c r="AP21" s="245"/>
      <c r="AQ21" s="245"/>
      <c r="AS21" s="250" t="s">
        <v>597</v>
      </c>
      <c r="AT21" s="251">
        <v>3.1880000000000002</v>
      </c>
      <c r="AU21" s="251">
        <v>1.25</v>
      </c>
      <c r="AV21" s="251">
        <v>0.438</v>
      </c>
      <c r="AW21" s="251">
        <v>0.28299999999999997</v>
      </c>
      <c r="AX21" s="257">
        <v>1</v>
      </c>
      <c r="AY21" s="253">
        <f>((PI()*AV21*AW21/4)*(AT21^2-AU21^2))*AX21</f>
        <v>0.83732006407148896</v>
      </c>
      <c r="AZ21" s="254">
        <f>(((AY21/386.4)*(AT21^2+AU21^2))/8)</f>
        <v>3.1762048555163971E-3</v>
      </c>
      <c r="BA21" s="251">
        <f ca="1">Ratio</f>
        <v>11.111000000000001</v>
      </c>
      <c r="BB21" s="256">
        <f ca="1">(AZ21/(BA21^2))</f>
        <v>2.5727773882587684E-5</v>
      </c>
      <c r="BD21" s="250" t="s">
        <v>597</v>
      </c>
      <c r="BE21" s="251">
        <v>3.1880000000000002</v>
      </c>
      <c r="BF21" s="251">
        <v>1.25</v>
      </c>
      <c r="BG21" s="251">
        <v>0.438</v>
      </c>
      <c r="BH21" s="251">
        <v>0.28299999999999997</v>
      </c>
      <c r="BI21" s="257">
        <v>1</v>
      </c>
      <c r="BJ21" s="253">
        <f>((PI()*BG21*BH21/4)*(BE21^2-BF21^2))*BI21</f>
        <v>0.83732006407148896</v>
      </c>
      <c r="BK21" s="254">
        <f>(((BJ21/386.4)*(BE21^2+BF21^2))/8)</f>
        <v>3.1762048555163971E-3</v>
      </c>
      <c r="BL21" s="251">
        <f ca="1">Ratio</f>
        <v>11.111000000000001</v>
      </c>
      <c r="BM21" s="256">
        <f ca="1">(BK21/(BL21^2))</f>
        <v>2.5727773882587684E-5</v>
      </c>
      <c r="BO21" s="250" t="s">
        <v>597</v>
      </c>
      <c r="BP21" s="251">
        <v>3.1875</v>
      </c>
      <c r="BQ21" s="251">
        <v>1.875</v>
      </c>
      <c r="BR21" s="251">
        <v>0.438</v>
      </c>
      <c r="BS21" s="251">
        <v>0.28299999999999997</v>
      </c>
      <c r="BT21" s="257">
        <v>1</v>
      </c>
      <c r="BU21" s="253">
        <f>((PI()*BR21*BS21/4)*(BP21^2-BQ21^2))*BT21</f>
        <v>0.64686667168652401</v>
      </c>
      <c r="BV21" s="254">
        <f>(((BU21/386.4)*(BP21^2+BQ21^2))/8)</f>
        <v>2.8618035390464776E-3</v>
      </c>
      <c r="BW21" s="255">
        <f ca="1">Ratio</f>
        <v>11.111000000000001</v>
      </c>
      <c r="BX21" s="256">
        <f ca="1">(BV21/(BW21^2))</f>
        <v>2.3181072285404066E-5</v>
      </c>
      <c r="BZ21" s="250" t="s">
        <v>597</v>
      </c>
      <c r="CA21" s="251">
        <v>3.1875</v>
      </c>
      <c r="CB21" s="251">
        <v>1.875</v>
      </c>
      <c r="CC21" s="251">
        <v>0.438</v>
      </c>
      <c r="CD21" s="251">
        <v>0.28299999999999997</v>
      </c>
      <c r="CE21" s="257">
        <v>1</v>
      </c>
      <c r="CF21" s="253">
        <f>((PI()*CC21*CD21/4)*(CA21^2-CB21^2))*CE21</f>
        <v>0.64686667168652401</v>
      </c>
      <c r="CG21" s="254">
        <f>(((CF21/386.4)*(CA21^2+CB21^2))/8)</f>
        <v>2.8618035390464776E-3</v>
      </c>
      <c r="CH21" s="255">
        <f ca="1">Ratio</f>
        <v>11.111000000000001</v>
      </c>
      <c r="CI21" s="256">
        <f ca="1">(CG21/(CH21^2))</f>
        <v>2.3181072285404066E-5</v>
      </c>
      <c r="CK21" s="250" t="s">
        <v>587</v>
      </c>
      <c r="CL21" s="251">
        <v>14.382999999999999</v>
      </c>
      <c r="CM21" s="251">
        <v>13.2</v>
      </c>
      <c r="CN21" s="251">
        <v>2.38</v>
      </c>
      <c r="CO21" s="251">
        <v>0.28299999999999997</v>
      </c>
      <c r="CP21" s="257">
        <v>1</v>
      </c>
      <c r="CQ21" s="253">
        <f>((PI()*CN21*CO21/4)*(CL21^2-CM21^2))*CP21</f>
        <v>17.261539165932433</v>
      </c>
      <c r="CR21" s="254">
        <f>(((CQ21/386.4)*(CL21^2+CM21^2))/8)</f>
        <v>2.1281564068093277</v>
      </c>
      <c r="CS21" s="255">
        <f ca="1">Ratio</f>
        <v>11.111000000000001</v>
      </c>
      <c r="CT21" s="256">
        <f ca="1">(CR21/(CS21^2))</f>
        <v>1.7238411661664944E-2</v>
      </c>
      <c r="CV21" s="250"/>
      <c r="CW21" s="257"/>
      <c r="CX21" s="339"/>
      <c r="CY21" s="339"/>
      <c r="CZ21" s="257"/>
      <c r="DA21" s="257"/>
      <c r="DB21" s="340"/>
      <c r="DC21" s="254"/>
      <c r="DD21" s="255"/>
      <c r="DE21" s="256"/>
      <c r="DG21" s="250" t="s">
        <v>593</v>
      </c>
      <c r="DH21" s="339">
        <v>3.38</v>
      </c>
      <c r="DI21" s="339">
        <v>1.75</v>
      </c>
      <c r="DJ21" s="339">
        <v>1.75</v>
      </c>
      <c r="DK21" s="254">
        <v>0.28299999999999997</v>
      </c>
      <c r="DL21" s="257">
        <v>2</v>
      </c>
      <c r="DM21" s="340">
        <f>((PI()*DJ21*DK21/4)*(DH21^2-DI21^2))*DL21</f>
        <v>6.5050304039392461</v>
      </c>
      <c r="DN21" s="254">
        <f>(((DM21/386.4)*(DH21^2+DI21^2))/8)</f>
        <v>3.0485806469599981E-2</v>
      </c>
      <c r="DO21" s="255">
        <f ca="1">Ratio</f>
        <v>11.111000000000001</v>
      </c>
      <c r="DP21" s="256">
        <f ca="1">(DN21/(DO21^2))</f>
        <v>2.4693997117848936E-4</v>
      </c>
      <c r="DR21" s="250" t="s">
        <v>604</v>
      </c>
      <c r="DS21" s="341">
        <v>6.33</v>
      </c>
      <c r="DT21" s="341">
        <v>1.75</v>
      </c>
      <c r="DU21" s="342">
        <v>2</v>
      </c>
      <c r="DV21" s="251">
        <v>0.28299999999999997</v>
      </c>
      <c r="DW21" s="257">
        <v>2</v>
      </c>
      <c r="DX21" s="340">
        <f>((PI()*DU21*DV21/4)*(DS21^2-DT21^2))*DW21</f>
        <v>32.9013067283529</v>
      </c>
      <c r="DY21" s="254">
        <f>(((DX21/386.4)*(DS21^2+DT21^2))/8)</f>
        <v>0.45907072367471541</v>
      </c>
      <c r="DZ21" s="341">
        <f ca="1">(DS21/DS18)*Ratio</f>
        <v>11.111000000000001</v>
      </c>
      <c r="EA21" s="256">
        <f ca="1">(DY21/(DZ21^2))</f>
        <v>3.7185472323379861E-3</v>
      </c>
    </row>
    <row r="22" spans="1:131" ht="15.75" x14ac:dyDescent="0.25">
      <c r="A22" s="250" t="s">
        <v>605</v>
      </c>
      <c r="B22" s="251">
        <v>1.831</v>
      </c>
      <c r="C22" s="251">
        <v>0.94499999999999995</v>
      </c>
      <c r="D22" s="251">
        <v>1.28</v>
      </c>
      <c r="E22" s="251">
        <v>0.28299999999999997</v>
      </c>
      <c r="F22" s="257">
        <v>1</v>
      </c>
      <c r="G22" s="253">
        <f>((PI()*D22*E22/4)*(B22^2-C22^2))*F22</f>
        <v>0.69974446232371645</v>
      </c>
      <c r="H22" s="254">
        <f>(((G22/386.4)*(B22^2+C22^2))/8)</f>
        <v>9.6105890683847626E-4</v>
      </c>
      <c r="I22" s="255">
        <f>IF(I32=0,1,I32)</f>
        <v>1</v>
      </c>
      <c r="J22" s="256">
        <f>(H22/(I22^2))</f>
        <v>9.6105890683847626E-4</v>
      </c>
      <c r="L22" s="250" t="s">
        <v>605</v>
      </c>
      <c r="M22" s="251">
        <v>1.831</v>
      </c>
      <c r="N22" s="251">
        <v>0.625</v>
      </c>
      <c r="O22" s="251">
        <v>1.28</v>
      </c>
      <c r="P22" s="251">
        <v>0.28299999999999997</v>
      </c>
      <c r="Q22" s="257">
        <v>1</v>
      </c>
      <c r="R22" s="253">
        <f>((PI()*P22*O22/4)*(M22^2-N22^2))*Q22</f>
        <v>0.84267858399196405</v>
      </c>
      <c r="S22" s="254">
        <f>(((R22/386.4)*(M22^2+N22^2))/8)</f>
        <v>1.0204136510411957E-3</v>
      </c>
      <c r="T22" s="255">
        <f>IF(T32=0,1,T32)</f>
        <v>1</v>
      </c>
      <c r="U22" s="256">
        <f>(S22/(T22^2))</f>
        <v>1.0204136510411957E-3</v>
      </c>
      <c r="W22" s="250" t="s">
        <v>605</v>
      </c>
      <c r="X22" s="251">
        <v>2.319</v>
      </c>
      <c r="Y22" s="251">
        <v>0.875</v>
      </c>
      <c r="Z22" s="251">
        <v>1.28</v>
      </c>
      <c r="AA22" s="251">
        <v>0.28299999999999997</v>
      </c>
      <c r="AB22" s="257">
        <v>1</v>
      </c>
      <c r="AC22" s="253">
        <f>((PI()*Z22*AA22/4)*(X22^2-Y22^2))*AB22</f>
        <v>1.3121648251881071</v>
      </c>
      <c r="AD22" s="254">
        <f>(((AC22/386.4)*(X22^2+Y22^2))/8)</f>
        <v>2.6077688330593506E-3</v>
      </c>
      <c r="AE22" s="255">
        <f>IF(AE32=0,1,AE32)</f>
        <v>1</v>
      </c>
      <c r="AF22" s="256">
        <f>(AD22/(AE22^2))</f>
        <v>2.6077688330593506E-3</v>
      </c>
      <c r="AH22" s="250" t="s">
        <v>605</v>
      </c>
      <c r="AI22" s="251">
        <v>2.319</v>
      </c>
      <c r="AJ22" s="251">
        <v>0.875</v>
      </c>
      <c r="AK22" s="251">
        <v>1.28</v>
      </c>
      <c r="AL22" s="251">
        <v>0.28299999999999997</v>
      </c>
      <c r="AM22" s="257">
        <v>1</v>
      </c>
      <c r="AN22" s="253">
        <f>((PI()*AK22*AL22/4)*(AI22^2-AJ22^2))*AM22</f>
        <v>1.3121648251881071</v>
      </c>
      <c r="AO22" s="254">
        <f>(((AN22/386.4)*(AI22^2+AJ22^2))/8)</f>
        <v>2.6077688330593506E-3</v>
      </c>
      <c r="AP22" s="255">
        <f>IF(AP32=0,1,AP32)</f>
        <v>1</v>
      </c>
      <c r="AQ22" s="256">
        <f>(AO22/(AP22^2))</f>
        <v>2.6077688330593506E-3</v>
      </c>
      <c r="AS22" s="250" t="s">
        <v>606</v>
      </c>
      <c r="AT22" s="251">
        <v>2.1880000000000002</v>
      </c>
      <c r="AU22" s="251">
        <v>1.25</v>
      </c>
      <c r="AV22" s="251">
        <v>0.875</v>
      </c>
      <c r="AW22" s="251">
        <v>0.28299999999999997</v>
      </c>
      <c r="AX22" s="257">
        <v>1</v>
      </c>
      <c r="AY22" s="253">
        <f>((PI()*AV22*AW22/4)*(AT22^2-AU22^2))*AX22</f>
        <v>0.6271812706430675</v>
      </c>
      <c r="AZ22" s="254">
        <f>(((AY22/386.4)*(AT22^2+AU22^2))/8)</f>
        <v>1.2883356716826019E-3</v>
      </c>
      <c r="BA22" s="251">
        <f ca="1">Ratio</f>
        <v>11.111000000000001</v>
      </c>
      <c r="BB22" s="256">
        <f ca="1">(AZ22/(BA22^2))</f>
        <v>1.0435727654138584E-5</v>
      </c>
      <c r="BD22" s="250" t="s">
        <v>606</v>
      </c>
      <c r="BE22" s="251">
        <v>2.1880000000000002</v>
      </c>
      <c r="BF22" s="251">
        <v>1.25</v>
      </c>
      <c r="BG22" s="251">
        <v>0.875</v>
      </c>
      <c r="BH22" s="251">
        <v>0.28299999999999997</v>
      </c>
      <c r="BI22" s="257">
        <v>1</v>
      </c>
      <c r="BJ22" s="253">
        <f>((PI()*BG22*BH22/4)*(BE22^2-BF22^2))*BI22</f>
        <v>0.6271812706430675</v>
      </c>
      <c r="BK22" s="254">
        <f>(((BJ22/386.4)*(BE22^2+BF22^2))/8)</f>
        <v>1.2883356716826019E-3</v>
      </c>
      <c r="BL22" s="251">
        <f ca="1">Ratio</f>
        <v>11.111000000000001</v>
      </c>
      <c r="BM22" s="256">
        <f ca="1">(BK22/(BL22^2))</f>
        <v>1.0435727654138584E-5</v>
      </c>
      <c r="BO22" s="250" t="s">
        <v>607</v>
      </c>
      <c r="BP22" s="251">
        <v>2.1875</v>
      </c>
      <c r="BQ22" s="251">
        <v>1.875</v>
      </c>
      <c r="BR22" s="251">
        <v>0.875</v>
      </c>
      <c r="BS22" s="251">
        <v>0.28299999999999997</v>
      </c>
      <c r="BT22" s="257">
        <v>1</v>
      </c>
      <c r="BU22" s="253">
        <f>((PI()*BR22*BS22/4)*(BP22^2-BQ22^2))*BT22</f>
        <v>0.24690379519011821</v>
      </c>
      <c r="BV22" s="254">
        <f>(((BU22/386.4)*(BP22^2+BQ22^2))/8)</f>
        <v>6.6300931472178237E-4</v>
      </c>
      <c r="BW22" s="255">
        <f ca="1">Ratio</f>
        <v>11.111000000000001</v>
      </c>
      <c r="BX22" s="256">
        <f ca="1">(BV22/(BW22^2))</f>
        <v>5.3704828583665551E-6</v>
      </c>
      <c r="BZ22" s="250" t="s">
        <v>607</v>
      </c>
      <c r="CA22" s="251">
        <v>2.1875</v>
      </c>
      <c r="CB22" s="251">
        <v>1.875</v>
      </c>
      <c r="CC22" s="251">
        <v>0.875</v>
      </c>
      <c r="CD22" s="251">
        <v>0.28299999999999997</v>
      </c>
      <c r="CE22" s="257">
        <v>1</v>
      </c>
      <c r="CF22" s="253">
        <f>((PI()*CC22*CD22/4)*(CA22^2-CB22^2))*CE22</f>
        <v>0.24690379519011821</v>
      </c>
      <c r="CG22" s="254">
        <f>(((CF22/386.4)*(CA22^2+CB22^2))/8)</f>
        <v>6.6300931472178237E-4</v>
      </c>
      <c r="CH22" s="255">
        <f ca="1">Ratio</f>
        <v>11.111000000000001</v>
      </c>
      <c r="CI22" s="256">
        <f ca="1">(CG22/(CH22^2))</f>
        <v>5.3704828583665551E-6</v>
      </c>
      <c r="CK22" s="250" t="s">
        <v>608</v>
      </c>
      <c r="CL22" s="251">
        <v>13.2</v>
      </c>
      <c r="CM22" s="251">
        <v>3.8340000000000001</v>
      </c>
      <c r="CN22" s="251">
        <v>2.375</v>
      </c>
      <c r="CO22" s="251">
        <v>0.28299999999999997</v>
      </c>
      <c r="CP22" s="257">
        <v>1</v>
      </c>
      <c r="CQ22" s="253">
        <f>((PI()*CN22*CO22/4)*(CL22^2-CM22^2))*CP22</f>
        <v>84.219125432366567</v>
      </c>
      <c r="CR22" s="254">
        <f>(((CQ22/386.4)*(CL22^2+CM22^2))/8)</f>
        <v>5.1476203952832709</v>
      </c>
      <c r="CS22" s="255">
        <f ca="1">Ratio</f>
        <v>11.111000000000001</v>
      </c>
      <c r="CT22" s="256">
        <f ca="1">(CR22/(CS22^2))</f>
        <v>4.169655912880741E-2</v>
      </c>
      <c r="CV22" s="250" t="s">
        <v>587</v>
      </c>
      <c r="CW22" s="255">
        <v>8.77</v>
      </c>
      <c r="CX22" s="339">
        <v>4</v>
      </c>
      <c r="CY22" s="339">
        <v>2</v>
      </c>
      <c r="CZ22" s="251">
        <v>0.28299999999999997</v>
      </c>
      <c r="DA22" s="257">
        <v>1</v>
      </c>
      <c r="DB22" s="340">
        <f>((PI()*CY22*CZ22/4)*(CW22^2-CX22^2))*DA22</f>
        <v>27.077937959562227</v>
      </c>
      <c r="DC22" s="254">
        <f>(((DB22/386.4)*(CW22^2+CX22^2))/8)</f>
        <v>0.81388772704548695</v>
      </c>
      <c r="DD22" s="255">
        <f ca="1">Ratio</f>
        <v>11.111000000000001</v>
      </c>
      <c r="DE22" s="256">
        <f ca="1">(DC22/(DD22^2))</f>
        <v>6.5926224408579979E-3</v>
      </c>
      <c r="DG22" s="250"/>
      <c r="DH22" s="339"/>
      <c r="DI22" s="339"/>
      <c r="DJ22" s="339"/>
      <c r="DK22" s="254"/>
      <c r="DL22" s="245"/>
      <c r="DM22" s="340"/>
      <c r="DN22" s="254"/>
      <c r="DO22" s="255"/>
      <c r="DP22" s="256"/>
      <c r="DR22" s="250" t="s">
        <v>593</v>
      </c>
      <c r="DS22" s="341">
        <v>3.38</v>
      </c>
      <c r="DT22" s="341">
        <v>1.75</v>
      </c>
      <c r="DU22" s="342">
        <v>1.5</v>
      </c>
      <c r="DV22" s="251">
        <v>0.28299999999999997</v>
      </c>
      <c r="DW22" s="257">
        <v>2</v>
      </c>
      <c r="DX22" s="340">
        <f>((PI()*DU22*DV22/4)*(DS22^2-DT22^2))*DW22</f>
        <v>5.5757403462336397</v>
      </c>
      <c r="DY22" s="254">
        <f>(((DX22/386.4)*(DS22^2+DT22^2))/8)</f>
        <v>2.6130691259657127E-2</v>
      </c>
      <c r="DZ22" s="341">
        <f ca="1">(DS21/DS18)*Ratio</f>
        <v>11.111000000000001</v>
      </c>
      <c r="EA22" s="256">
        <f ca="1">(DY22/(DZ22^2))</f>
        <v>2.1166283243870517E-4</v>
      </c>
    </row>
    <row r="23" spans="1:131" ht="15.75" x14ac:dyDescent="0.25">
      <c r="A23" s="250" t="s">
        <v>609</v>
      </c>
      <c r="B23" s="251">
        <v>1.19</v>
      </c>
      <c r="C23" s="251">
        <v>0.94499999999999995</v>
      </c>
      <c r="D23" s="251">
        <v>0.42</v>
      </c>
      <c r="E23" s="251">
        <v>0.28299999999999997</v>
      </c>
      <c r="F23" s="257">
        <v>1</v>
      </c>
      <c r="G23" s="253">
        <f>((PI()*D23*E23/4)*(B23^2-C23^2))*F23</f>
        <v>4.8830320073770625E-2</v>
      </c>
      <c r="H23" s="254">
        <f>(((G23/386.4)*(B23^2+C23^2))/8)</f>
        <v>3.6476226979925464E-5</v>
      </c>
      <c r="I23" s="255">
        <f>IF(I32=0,1,I32)</f>
        <v>1</v>
      </c>
      <c r="J23" s="256">
        <f>(H23/(I23^2))</f>
        <v>3.6476226979925464E-5</v>
      </c>
      <c r="L23" s="250" t="s">
        <v>609</v>
      </c>
      <c r="M23" s="251">
        <v>1.19</v>
      </c>
      <c r="N23" s="251">
        <v>0.625</v>
      </c>
      <c r="O23" s="251">
        <v>0.42</v>
      </c>
      <c r="P23" s="251">
        <v>0.28299999999999997</v>
      </c>
      <c r="Q23" s="257">
        <v>1</v>
      </c>
      <c r="R23" s="253">
        <f>((PI()*P23*O23/4)*(M23^2-N23^2))*Q23</f>
        <v>9.5730578746164377E-2</v>
      </c>
      <c r="S23" s="254">
        <f>(((R23/386.4)*(M23^2+N23^2))/8)</f>
        <v>5.5952002421442755E-5</v>
      </c>
      <c r="T23" s="255">
        <f>IF(T32=0,1,T32)</f>
        <v>1</v>
      </c>
      <c r="U23" s="256">
        <f>(S23/(T23^2))</f>
        <v>5.5952002421442755E-5</v>
      </c>
      <c r="W23" s="250" t="s">
        <v>610</v>
      </c>
      <c r="X23" s="251">
        <v>1.19</v>
      </c>
      <c r="Y23" s="251">
        <v>0.875</v>
      </c>
      <c r="Z23" s="251">
        <v>0.42</v>
      </c>
      <c r="AA23" s="251">
        <v>0.28299999999999997</v>
      </c>
      <c r="AB23" s="257">
        <v>1</v>
      </c>
      <c r="AC23" s="253">
        <f>((PI()*Z23*AA23/4)*(X23^2-Y23^2))*AB23</f>
        <v>6.0723419108131615E-2</v>
      </c>
      <c r="AD23" s="254">
        <f>(((AC23/386.4)*(X23^2+Y23^2))/8)</f>
        <v>4.2857725657896118E-5</v>
      </c>
      <c r="AE23" s="255">
        <f>IF(AE32=0,1,AE32)</f>
        <v>1</v>
      </c>
      <c r="AF23" s="256">
        <f>(AD23/(AE23^2))</f>
        <v>4.2857725657896118E-5</v>
      </c>
      <c r="AH23" s="250" t="s">
        <v>610</v>
      </c>
      <c r="AI23" s="251">
        <v>1.19</v>
      </c>
      <c r="AJ23" s="251">
        <v>0.875</v>
      </c>
      <c r="AK23" s="251">
        <v>0.42</v>
      </c>
      <c r="AL23" s="251">
        <v>0.28299999999999997</v>
      </c>
      <c r="AM23" s="257">
        <v>1</v>
      </c>
      <c r="AN23" s="253">
        <f>((PI()*AK23*AL23/4)*(AI23^2-AJ23^2))*AM23</f>
        <v>6.0723419108131615E-2</v>
      </c>
      <c r="AO23" s="254">
        <f>(((AN23/386.4)*(AI23^2+AJ23^2))/8)</f>
        <v>4.2857725657896118E-5</v>
      </c>
      <c r="AP23" s="255">
        <f>IF(AP32=0,1,AP32)</f>
        <v>1</v>
      </c>
      <c r="AQ23" s="256">
        <f>(AO23/(AP23^2))</f>
        <v>4.2857725657896118E-5</v>
      </c>
      <c r="AS23" s="250"/>
      <c r="AT23" s="251"/>
      <c r="AU23" s="251"/>
      <c r="AV23" s="251"/>
      <c r="AW23" s="251"/>
      <c r="AX23" s="245"/>
      <c r="AY23" s="253"/>
      <c r="AZ23" s="254"/>
      <c r="BA23" s="251"/>
      <c r="BB23" s="256"/>
      <c r="BD23" s="250"/>
      <c r="BE23" s="251"/>
      <c r="BF23" s="251"/>
      <c r="BG23" s="251"/>
      <c r="BH23" s="251"/>
      <c r="BI23" s="245"/>
      <c r="BJ23" s="253"/>
      <c r="BK23" s="254"/>
      <c r="BL23" s="251"/>
      <c r="BM23" s="245"/>
      <c r="BO23" s="250"/>
      <c r="BP23" s="251"/>
      <c r="BQ23" s="251"/>
      <c r="BS23" s="251"/>
      <c r="BT23" s="245"/>
      <c r="BU23" s="253"/>
      <c r="BV23" s="254"/>
      <c r="BW23" s="245"/>
      <c r="BX23" s="245"/>
      <c r="BZ23" s="250"/>
      <c r="CA23" s="251"/>
      <c r="CB23" s="251"/>
      <c r="CC23" s="251"/>
      <c r="CD23" s="251"/>
      <c r="CE23" s="245"/>
      <c r="CF23" s="253"/>
      <c r="CG23" s="254"/>
      <c r="CH23" s="245"/>
      <c r="CI23" s="245"/>
      <c r="CK23" s="250"/>
      <c r="CL23" s="251"/>
      <c r="CM23" s="251"/>
      <c r="CN23" s="251"/>
      <c r="CO23" s="251"/>
      <c r="CP23" s="257"/>
      <c r="CQ23" s="344"/>
      <c r="CR23" s="254"/>
      <c r="CS23" s="255"/>
      <c r="CT23" s="256"/>
      <c r="CV23" s="345" t="s">
        <v>805</v>
      </c>
      <c r="CW23" s="257">
        <v>4</v>
      </c>
      <c r="CX23" s="339">
        <v>2.25</v>
      </c>
      <c r="CY23" s="339">
        <v>2.5</v>
      </c>
      <c r="CZ23" s="257">
        <v>0.28299999999999997</v>
      </c>
      <c r="DA23" s="257">
        <v>1</v>
      </c>
      <c r="DB23" s="340">
        <f>((PI()*CY23*CZ23/4)*(CW23^2-CX23^2))*DA23</f>
        <v>6.07763188160291</v>
      </c>
      <c r="DC23" s="254">
        <f>(((DB23/386.4)*(CW23^2+CX23^2))/8)</f>
        <v>4.1411141791621794E-2</v>
      </c>
      <c r="DD23" s="255">
        <f ca="1">Ratio</f>
        <v>11.111000000000001</v>
      </c>
      <c r="DE23" s="256">
        <f ca="1">(DC23/(DD23^2))</f>
        <v>3.3543695721773714E-4</v>
      </c>
      <c r="DG23" s="250" t="s">
        <v>587</v>
      </c>
      <c r="DH23" s="339">
        <v>10.53</v>
      </c>
      <c r="DI23" s="339">
        <v>6</v>
      </c>
      <c r="DJ23" s="339">
        <v>2</v>
      </c>
      <c r="DK23" s="254">
        <v>0.28299999999999997</v>
      </c>
      <c r="DL23" s="257">
        <v>1</v>
      </c>
      <c r="DM23" s="340">
        <f>((PI()*DJ23*DK23/4)*(DH23^2-DI23^2))*DL23</f>
        <v>33.287207874788145</v>
      </c>
      <c r="DN23" s="254">
        <f>(((DM23/386.4)*(DH23^2+DI23^2))/8)</f>
        <v>1.5816689477018537</v>
      </c>
      <c r="DO23" s="255">
        <f ca="1">Ratio</f>
        <v>11.111000000000001</v>
      </c>
      <c r="DP23" s="256">
        <f ca="1">(DN23/(DO23^2))</f>
        <v>1.2811774710598047E-2</v>
      </c>
      <c r="DR23" s="250"/>
      <c r="DS23" s="258"/>
      <c r="DT23" s="258"/>
      <c r="DU23" s="258"/>
      <c r="DV23" s="245"/>
      <c r="DW23" s="245"/>
      <c r="DX23" s="340"/>
      <c r="DY23" s="254"/>
      <c r="DZ23" s="341"/>
      <c r="EA23" s="256"/>
    </row>
    <row r="24" spans="1:131" ht="15.75" x14ac:dyDescent="0.25">
      <c r="A24" s="250"/>
      <c r="B24" s="251"/>
      <c r="C24" s="251"/>
      <c r="D24" s="251"/>
      <c r="E24" s="251"/>
      <c r="F24" s="245"/>
      <c r="G24" s="253"/>
      <c r="H24" s="254"/>
      <c r="I24" s="245"/>
      <c r="J24" s="245"/>
      <c r="L24" s="250"/>
      <c r="M24" s="251"/>
      <c r="N24" s="251"/>
      <c r="O24" s="251"/>
      <c r="P24" s="251"/>
      <c r="Q24" s="245"/>
      <c r="R24" s="253"/>
      <c r="S24" s="254"/>
      <c r="T24" s="245"/>
      <c r="U24" s="245"/>
      <c r="W24" s="250"/>
      <c r="X24" s="251"/>
      <c r="Y24" s="251"/>
      <c r="Z24" s="251"/>
      <c r="AA24" s="251"/>
      <c r="AB24" s="245"/>
      <c r="AC24" s="253"/>
      <c r="AD24" s="254"/>
      <c r="AE24" s="245"/>
      <c r="AF24" s="245"/>
      <c r="AH24" s="250"/>
      <c r="AI24" s="251"/>
      <c r="AJ24" s="251"/>
      <c r="AK24" s="251"/>
      <c r="AL24" s="251"/>
      <c r="AM24" s="245"/>
      <c r="AN24" s="253"/>
      <c r="AO24" s="254"/>
      <c r="AP24" s="245"/>
      <c r="AQ24" s="245"/>
      <c r="AS24" s="250" t="s">
        <v>605</v>
      </c>
      <c r="AT24" s="251">
        <v>3.15</v>
      </c>
      <c r="AU24" s="251">
        <v>1.57</v>
      </c>
      <c r="AV24" s="251">
        <v>0.35</v>
      </c>
      <c r="AW24" s="251">
        <v>0.28299999999999997</v>
      </c>
      <c r="AX24" s="257">
        <v>1</v>
      </c>
      <c r="AY24" s="253">
        <f>((PI()*AV24*AW24/4)*(AT24^2-AU24^2))*AX24</f>
        <v>0.58015420825909569</v>
      </c>
      <c r="AZ24" s="254">
        <f>(((AY24/386.4)*(AT24^2+AU24^2))/8)</f>
        <v>2.3248583848954197E-3</v>
      </c>
      <c r="BA24" s="251">
        <f>IF(BA34=0,1,BA34)</f>
        <v>1</v>
      </c>
      <c r="BB24" s="256">
        <f>(AZ24/(BA24^2))</f>
        <v>2.3248583848954197E-3</v>
      </c>
      <c r="BD24" s="250" t="s">
        <v>605</v>
      </c>
      <c r="BE24" s="251">
        <v>3.15</v>
      </c>
      <c r="BF24" s="251">
        <v>1.57</v>
      </c>
      <c r="BG24" s="251">
        <v>0.35</v>
      </c>
      <c r="BH24" s="251">
        <v>0.28299999999999997</v>
      </c>
      <c r="BI24" s="257">
        <v>1</v>
      </c>
      <c r="BJ24" s="253">
        <f>((PI()*BG24*BH24/4)*(BE24^2-BF24^2))*BI24</f>
        <v>0.58015420825909569</v>
      </c>
      <c r="BK24" s="254">
        <f>(((BJ24/386.4)*(BE24^2+BF24^2))/8)</f>
        <v>2.3248583848954197E-3</v>
      </c>
      <c r="BL24" s="251">
        <f>IF(BL34=0,1,BL34)</f>
        <v>1</v>
      </c>
      <c r="BM24" s="256">
        <f>(BK24/(BL24^2))</f>
        <v>2.3248583848954197E-3</v>
      </c>
      <c r="BO24" s="250" t="s">
        <v>605</v>
      </c>
      <c r="BP24" s="251">
        <v>3.4</v>
      </c>
      <c r="BQ24" s="251">
        <v>2.75</v>
      </c>
      <c r="BR24" s="251">
        <v>1.22</v>
      </c>
      <c r="BS24" s="251">
        <v>0.28299999999999997</v>
      </c>
      <c r="BT24" s="257">
        <v>1</v>
      </c>
      <c r="BU24" s="253">
        <f>((PI()*BR24*BS24/4)*(BP24^2-BQ24^2))*BT24</f>
        <v>1.0839883631536751</v>
      </c>
      <c r="BV24" s="254">
        <f>(((BU24/386.4)*(BP24^2+BQ24^2))/8)</f>
        <v>6.7056701198260063E-3</v>
      </c>
      <c r="BW24" s="255">
        <f>IF(BW34=0,1,BW34)</f>
        <v>1</v>
      </c>
      <c r="BX24" s="256">
        <f>(BV24/(BW24^2))</f>
        <v>6.7056701198260063E-3</v>
      </c>
      <c r="BZ24" s="250" t="s">
        <v>605</v>
      </c>
      <c r="CA24" s="251">
        <v>3.4</v>
      </c>
      <c r="CB24" s="251">
        <v>2.75</v>
      </c>
      <c r="CC24" s="251">
        <v>1.22</v>
      </c>
      <c r="CD24" s="251">
        <v>0.28299999999999997</v>
      </c>
      <c r="CE24" s="257">
        <v>1</v>
      </c>
      <c r="CF24" s="253">
        <f>((PI()*CC24*CD24/4)*(CA24^2-CB24^2))*CE24</f>
        <v>1.0839883631536751</v>
      </c>
      <c r="CG24" s="254">
        <f>(((CF24/386.4)*(CA24^2+CB24^2))/8)</f>
        <v>6.7056701198260063E-3</v>
      </c>
      <c r="CH24" s="255">
        <f>IF(CH34=0,1,CH34)</f>
        <v>1</v>
      </c>
      <c r="CI24" s="256">
        <f>(CG24/(CH24^2))</f>
        <v>6.7056701198260063E-3</v>
      </c>
      <c r="CK24" s="250" t="s">
        <v>611</v>
      </c>
      <c r="CL24" s="251">
        <v>6</v>
      </c>
      <c r="CM24" s="251">
        <v>1.5</v>
      </c>
      <c r="CN24" s="251">
        <v>0.75</v>
      </c>
      <c r="CO24" s="251">
        <v>0.28299999999999997</v>
      </c>
      <c r="CP24" s="257">
        <v>1</v>
      </c>
      <c r="CQ24" s="253">
        <f>((PI()*CN24*CO24/4)*(CL24^2-CM24^2))*CP24</f>
        <v>5.6261506561124079</v>
      </c>
      <c r="CR24" s="254">
        <f>(((CQ24/386.4)*(CL24^2+CM24^2))/8)</f>
        <v>6.9617062175303973E-2</v>
      </c>
      <c r="CS24" s="255">
        <f ca="1">Ratio</f>
        <v>11.111000000000001</v>
      </c>
      <c r="CT24" s="256">
        <f ca="1">(CR24/(CS24^2))</f>
        <v>5.6390948175320625E-4</v>
      </c>
      <c r="CV24" s="250" t="s">
        <v>808</v>
      </c>
      <c r="CW24" s="257"/>
      <c r="CX24" s="339"/>
      <c r="CY24" s="339"/>
      <c r="CZ24" s="257"/>
      <c r="DA24" s="257"/>
      <c r="DB24" s="340"/>
      <c r="DC24" s="254"/>
      <c r="DD24" s="255"/>
      <c r="DE24" s="256"/>
      <c r="DG24" s="345" t="s">
        <v>805</v>
      </c>
      <c r="DH24" s="339">
        <v>6</v>
      </c>
      <c r="DI24" s="339">
        <v>3.5</v>
      </c>
      <c r="DJ24" s="339">
        <v>2</v>
      </c>
      <c r="DK24" s="254">
        <v>0.28299999999999997</v>
      </c>
      <c r="DL24" s="257">
        <v>1</v>
      </c>
      <c r="DM24" s="340">
        <f>((PI()*DJ24*DK24/4)*(DH24^2-DI24^2))*DL24</f>
        <v>10.557714811470197</v>
      </c>
      <c r="DN24" s="254">
        <f>(((DM24/386.4)*(DH24^2+DI24^2))/8)</f>
        <v>0.16479352343861187</v>
      </c>
      <c r="DO24" s="255">
        <f ca="1">Ratio</f>
        <v>11.111000000000001</v>
      </c>
      <c r="DP24" s="256">
        <f ca="1">(DN24/(DO24^2))</f>
        <v>1.3348542368040066E-3</v>
      </c>
      <c r="DR24" s="250" t="s">
        <v>587</v>
      </c>
      <c r="DS24" s="341">
        <v>14.04</v>
      </c>
      <c r="DT24" s="341">
        <v>6</v>
      </c>
      <c r="DU24" s="258">
        <v>2</v>
      </c>
      <c r="DV24" s="251">
        <v>0.28299999999999997</v>
      </c>
      <c r="DW24" s="257">
        <v>1</v>
      </c>
      <c r="DX24" s="340">
        <f>((PI()*DU24*DV24/4)*(DS24^2-DT24^2))*DW24</f>
        <v>71.624248537590574</v>
      </c>
      <c r="DY24" s="254">
        <f>(((DX24/386.4)*(DS24^2+DT24^2))/8)</f>
        <v>5.4015137868403125</v>
      </c>
      <c r="DZ24" s="341">
        <f ca="1">Ratio</f>
        <v>11.111000000000001</v>
      </c>
      <c r="EA24" s="256">
        <f ca="1">(DY24/(DZ24^2))</f>
        <v>4.3753136731765847E-2</v>
      </c>
    </row>
    <row r="25" spans="1:131" ht="15.75" x14ac:dyDescent="0.25">
      <c r="A25" s="250"/>
      <c r="B25" s="251"/>
      <c r="C25" s="251"/>
      <c r="D25" s="251"/>
      <c r="E25" s="251"/>
      <c r="F25" s="245"/>
      <c r="G25" s="253"/>
      <c r="H25" s="254"/>
      <c r="I25" s="255"/>
      <c r="J25" s="256"/>
      <c r="L25" s="250"/>
      <c r="M25" s="251"/>
      <c r="N25" s="251"/>
      <c r="O25" s="251"/>
      <c r="P25" s="251"/>
      <c r="Q25" s="245"/>
      <c r="R25" s="253"/>
      <c r="S25" s="254"/>
      <c r="T25" s="255"/>
      <c r="U25" s="256"/>
      <c r="W25" s="250"/>
      <c r="X25" s="251"/>
      <c r="Y25" s="251"/>
      <c r="Z25" s="251"/>
      <c r="AA25" s="251"/>
      <c r="AB25" s="245"/>
      <c r="AC25" s="253"/>
      <c r="AD25" s="254"/>
      <c r="AE25" s="255"/>
      <c r="AF25" s="256"/>
      <c r="AH25" s="250"/>
      <c r="AI25" s="251"/>
      <c r="AJ25" s="251"/>
      <c r="AK25" s="251"/>
      <c r="AL25" s="251"/>
      <c r="AM25" s="245"/>
      <c r="AN25" s="253"/>
      <c r="AO25" s="254"/>
      <c r="AP25" s="255"/>
      <c r="AQ25" s="256"/>
      <c r="AS25" s="250" t="s">
        <v>612</v>
      </c>
      <c r="AT25" s="251">
        <v>3.15</v>
      </c>
      <c r="AU25" s="251">
        <v>1.625</v>
      </c>
      <c r="AV25" s="251">
        <v>0.87</v>
      </c>
      <c r="AW25" s="251">
        <v>0.28299999999999997</v>
      </c>
      <c r="AX25" s="257">
        <v>1</v>
      </c>
      <c r="AY25" s="253">
        <f>((PI()*AV25*AW25/4)*(AT25^2-AU25^2))*AX25</f>
        <v>1.4081171537308179</v>
      </c>
      <c r="AZ25" s="254">
        <f>(((AY25/386.4)*(AT25^2+AU25^2))/8)</f>
        <v>5.7228104997944108E-3</v>
      </c>
      <c r="BA25" s="251">
        <f>IF(BA35=0,1,BA35)</f>
        <v>1</v>
      </c>
      <c r="BB25" s="256">
        <f>(AZ25/(BA25^2))</f>
        <v>5.7228104997944108E-3</v>
      </c>
      <c r="BD25" s="250" t="s">
        <v>612</v>
      </c>
      <c r="BE25" s="251">
        <v>3.15</v>
      </c>
      <c r="BF25" s="251">
        <v>1.625</v>
      </c>
      <c r="BG25" s="251">
        <v>0.87</v>
      </c>
      <c r="BH25" s="251">
        <v>0.28299999999999997</v>
      </c>
      <c r="BI25" s="257">
        <v>1</v>
      </c>
      <c r="BJ25" s="253">
        <f>((PI()*BG25*BH25/4)*(BE25^2-BF25^2))*BI25</f>
        <v>1.4081171537308179</v>
      </c>
      <c r="BK25" s="254">
        <f>(((BJ25/386.4)*(BE25^2+BF25^2))/8)</f>
        <v>5.7228104997944108E-3</v>
      </c>
      <c r="BL25" s="251">
        <f>IF(BL35=0,1,BL35)</f>
        <v>1</v>
      </c>
      <c r="BM25" s="256">
        <f>(BK25/(BL25^2))</f>
        <v>5.7228104997944108E-3</v>
      </c>
      <c r="BO25" s="250" t="s">
        <v>613</v>
      </c>
      <c r="BP25" s="251">
        <v>2.75</v>
      </c>
      <c r="BQ25" s="251">
        <v>1.871</v>
      </c>
      <c r="BR25" s="251">
        <v>0.68</v>
      </c>
      <c r="BS25" s="251">
        <v>0.28299999999999997</v>
      </c>
      <c r="BT25" s="257">
        <v>1</v>
      </c>
      <c r="BU25" s="253">
        <f>((PI()*BR25*BS25/4)*(BP25^2-BQ25^2))*BT25</f>
        <v>0.61391758463061896</v>
      </c>
      <c r="BV25" s="254">
        <f>(((BU25/386.4)*(BP25^2+BQ25^2))/8)</f>
        <v>2.1971586442637069E-3</v>
      </c>
      <c r="BW25" s="255">
        <f>IF(BW35=0,1,BW35)</f>
        <v>1</v>
      </c>
      <c r="BX25" s="256">
        <f>(BV25/(BW25^2))</f>
        <v>2.1971586442637069E-3</v>
      </c>
      <c r="BZ25" s="250" t="s">
        <v>613</v>
      </c>
      <c r="CA25" s="251">
        <v>2.75</v>
      </c>
      <c r="CB25" s="251">
        <v>1.871</v>
      </c>
      <c r="CC25" s="251">
        <v>0.68</v>
      </c>
      <c r="CD25" s="251">
        <v>0.28299999999999997</v>
      </c>
      <c r="CE25" s="257">
        <v>1</v>
      </c>
      <c r="CF25" s="253">
        <f>((PI()*CC25*CD25/4)*(CA25^2-CB25^2))*CE25</f>
        <v>0.61391758463061896</v>
      </c>
      <c r="CG25" s="254">
        <f>(((CF25/386.4)*(CA25^2+CB25^2))/8)</f>
        <v>2.1971586442637069E-3</v>
      </c>
      <c r="CH25" s="255">
        <f>IF(CH35=0,1,CH35)</f>
        <v>1</v>
      </c>
      <c r="CI25" s="256">
        <f>(CG25/(CH25^2))</f>
        <v>2.1971586442637069E-3</v>
      </c>
      <c r="CK25" s="250" t="s">
        <v>614</v>
      </c>
      <c r="CL25" s="251">
        <v>3.8340000000000001</v>
      </c>
      <c r="CM25" s="251">
        <v>1.5</v>
      </c>
      <c r="CN25" s="251">
        <v>1.875</v>
      </c>
      <c r="CO25" s="251">
        <v>0.28299999999999997</v>
      </c>
      <c r="CP25" s="257">
        <v>1</v>
      </c>
      <c r="CQ25" s="253">
        <f>((PI()*CN25*CO25/4)*(CL25^2-CM25^2))*CP25</f>
        <v>5.1883761227931977</v>
      </c>
      <c r="CR25" s="254">
        <f>(((CQ25/386.4)*(CL25^2+CM25^2))/8)</f>
        <v>2.8448716240407027E-2</v>
      </c>
      <c r="CS25" s="255">
        <f ca="1">Ratio</f>
        <v>11.111000000000001</v>
      </c>
      <c r="CT25" s="256">
        <f ca="1">(CR25/(CS25^2))</f>
        <v>2.3043921030845913E-4</v>
      </c>
      <c r="CV25" s="345"/>
      <c r="CW25" s="257"/>
      <c r="CX25" s="339"/>
      <c r="CY25" s="339"/>
      <c r="CZ25" s="257"/>
      <c r="DA25" s="257"/>
      <c r="DB25" s="340"/>
      <c r="DC25" s="254"/>
      <c r="DD25" s="255"/>
      <c r="DE25" s="256"/>
      <c r="DG25" s="250" t="s">
        <v>807</v>
      </c>
      <c r="DH25" s="339"/>
      <c r="DI25" s="339"/>
      <c r="DJ25" s="339"/>
      <c r="DK25" s="254"/>
      <c r="DL25" s="257"/>
      <c r="DM25" s="340"/>
      <c r="DN25" s="254"/>
      <c r="DO25" s="255"/>
      <c r="DP25" s="256"/>
      <c r="DR25" s="345" t="s">
        <v>805</v>
      </c>
      <c r="DS25" s="258">
        <v>6</v>
      </c>
      <c r="DT25" s="258">
        <v>3.5</v>
      </c>
      <c r="DU25" s="258">
        <v>2</v>
      </c>
      <c r="DV25" s="251">
        <v>0.28299999999999997</v>
      </c>
      <c r="DW25" s="257">
        <v>1</v>
      </c>
      <c r="DX25" s="340">
        <f>((PI()*DU25*DV25/4)*(DS25^2-DT25^2))*DW25</f>
        <v>10.557714811470197</v>
      </c>
      <c r="DY25" s="254">
        <f>(((DX25/386.4)*(DS25^2+DT25^2))/8)</f>
        <v>0.16479352343861187</v>
      </c>
      <c r="DZ25" s="341">
        <f ca="1">Ratio</f>
        <v>11.111000000000001</v>
      </c>
      <c r="EA25" s="256">
        <f ca="1">(DY25/(DZ25^2))</f>
        <v>1.3348542368040066E-3</v>
      </c>
    </row>
    <row r="26" spans="1:131" ht="15.75" x14ac:dyDescent="0.25">
      <c r="A26" s="248"/>
      <c r="B26" s="258"/>
      <c r="C26" s="258"/>
      <c r="D26" s="258"/>
      <c r="E26" s="258"/>
      <c r="F26" s="258"/>
      <c r="G26" s="258"/>
      <c r="H26" s="258"/>
      <c r="I26" s="258"/>
      <c r="J26" s="258"/>
      <c r="L26" s="248"/>
      <c r="M26" s="258"/>
      <c r="N26" s="258"/>
      <c r="O26" s="258"/>
      <c r="P26" s="258"/>
      <c r="Q26" s="258"/>
      <c r="R26" s="258"/>
      <c r="S26" s="258"/>
      <c r="T26" s="258"/>
      <c r="U26" s="258"/>
      <c r="W26" s="248"/>
      <c r="X26" s="258"/>
      <c r="Y26" s="258"/>
      <c r="Z26" s="258"/>
      <c r="AA26" s="258"/>
      <c r="AB26" s="258"/>
      <c r="AC26" s="258"/>
      <c r="AD26" s="258"/>
      <c r="AE26" s="258"/>
      <c r="AF26" s="258"/>
      <c r="AH26" s="248"/>
      <c r="AI26" s="258"/>
      <c r="AJ26" s="258"/>
      <c r="AK26" s="258"/>
      <c r="AL26" s="258"/>
      <c r="AM26" s="258"/>
      <c r="AN26" s="258"/>
      <c r="AO26" s="258"/>
      <c r="AP26" s="258"/>
      <c r="AQ26" s="258"/>
      <c r="AS26" s="250"/>
      <c r="AT26" s="251"/>
      <c r="AU26" s="251"/>
      <c r="AV26" s="251"/>
      <c r="AW26" s="251"/>
      <c r="AX26" s="245"/>
      <c r="AY26" s="253"/>
      <c r="AZ26" s="254"/>
      <c r="BA26" s="251"/>
      <c r="BB26" s="256"/>
      <c r="BD26" s="250"/>
      <c r="BE26" s="251"/>
      <c r="BF26" s="251"/>
      <c r="BG26" s="251"/>
      <c r="BH26" s="251"/>
      <c r="BI26" s="245"/>
      <c r="BJ26" s="253"/>
      <c r="BK26" s="254"/>
      <c r="BL26" s="251"/>
      <c r="BM26" s="245"/>
      <c r="BO26" s="250"/>
      <c r="BP26" s="251"/>
      <c r="BQ26" s="251"/>
      <c r="BR26" s="251"/>
      <c r="BS26" s="251"/>
      <c r="BT26" s="245"/>
      <c r="BU26" s="253"/>
      <c r="BV26" s="254"/>
      <c r="BW26" s="245"/>
      <c r="BX26" s="245"/>
      <c r="BZ26" s="250"/>
      <c r="CA26" s="251"/>
      <c r="CB26" s="251"/>
      <c r="CC26" s="251"/>
      <c r="CD26" s="251"/>
      <c r="CE26" s="245"/>
      <c r="CF26" s="253"/>
      <c r="CG26" s="254"/>
      <c r="CH26" s="245"/>
      <c r="CI26" s="245"/>
      <c r="CK26" s="250"/>
      <c r="CL26" s="251"/>
      <c r="CM26" s="251"/>
      <c r="CN26" s="251"/>
      <c r="CO26" s="251"/>
      <c r="CP26" s="245"/>
      <c r="CQ26" s="253"/>
      <c r="CR26" s="254"/>
      <c r="CS26" s="245"/>
      <c r="CT26" s="245"/>
      <c r="CV26" s="345"/>
      <c r="CW26" s="245"/>
      <c r="CX26" s="339"/>
      <c r="CY26" s="339"/>
      <c r="CZ26" s="245"/>
      <c r="DA26" s="245"/>
      <c r="DB26" s="340"/>
      <c r="DC26" s="254"/>
      <c r="DD26" s="255"/>
      <c r="DE26" s="256"/>
      <c r="DG26" s="345"/>
      <c r="DH26" s="339"/>
      <c r="DI26" s="339"/>
      <c r="DJ26" s="339"/>
      <c r="DK26" s="254"/>
      <c r="DL26" s="257"/>
      <c r="DM26" s="340"/>
      <c r="DN26" s="254"/>
      <c r="DO26" s="255"/>
      <c r="DP26" s="256"/>
      <c r="DR26" s="250" t="s">
        <v>806</v>
      </c>
      <c r="DS26" s="258"/>
      <c r="DT26" s="258"/>
      <c r="DU26" s="258"/>
      <c r="DV26" s="251"/>
      <c r="DW26" s="257"/>
      <c r="DX26" s="340"/>
      <c r="DY26" s="254"/>
      <c r="DZ26" s="341"/>
      <c r="EA26" s="256"/>
    </row>
    <row r="27" spans="1:131" ht="15.75" x14ac:dyDescent="0.25">
      <c r="A27" s="248"/>
      <c r="B27" s="258"/>
      <c r="C27" s="258"/>
      <c r="D27" s="258"/>
      <c r="E27" s="258"/>
      <c r="F27" s="258"/>
      <c r="G27" s="258"/>
      <c r="H27" s="258"/>
      <c r="I27" s="258"/>
      <c r="J27" s="258"/>
      <c r="L27" s="248"/>
      <c r="M27" s="258"/>
      <c r="N27" s="258"/>
      <c r="O27" s="258"/>
      <c r="P27" s="258"/>
      <c r="Q27" s="258"/>
      <c r="R27" s="258"/>
      <c r="S27" s="258"/>
      <c r="T27" s="258"/>
      <c r="U27" s="258"/>
      <c r="W27" s="248"/>
      <c r="X27" s="258"/>
      <c r="Y27" s="258"/>
      <c r="Z27" s="258"/>
      <c r="AA27" s="258"/>
      <c r="AB27" s="258"/>
      <c r="AC27" s="258"/>
      <c r="AD27" s="258"/>
      <c r="AE27" s="258"/>
      <c r="AF27" s="258"/>
      <c r="AH27" s="248"/>
      <c r="AI27" s="258"/>
      <c r="AJ27" s="258"/>
      <c r="AK27" s="258"/>
      <c r="AL27" s="258"/>
      <c r="AM27" s="258"/>
      <c r="AN27" s="258"/>
      <c r="AO27" s="258"/>
      <c r="AP27" s="258"/>
      <c r="AQ27" s="258"/>
      <c r="AS27" s="250" t="s">
        <v>597</v>
      </c>
      <c r="AT27" s="251">
        <v>2.5</v>
      </c>
      <c r="AU27" s="251">
        <v>0.94399999999999995</v>
      </c>
      <c r="AV27" s="251">
        <v>0.25</v>
      </c>
      <c r="AW27" s="251">
        <v>0.28299999999999997</v>
      </c>
      <c r="AX27" s="257">
        <v>1</v>
      </c>
      <c r="AY27" s="253">
        <f>((PI()*AV27*AW27/4)*(AT27^2-AU27^2))*AX27</f>
        <v>0.29777556750239176</v>
      </c>
      <c r="AZ27" s="254">
        <f>(((AY27/386.4)*(AT27^2+AU27^2))/8)</f>
        <v>6.8790625809127845E-4</v>
      </c>
      <c r="BA27" s="251">
        <f>IF(BA34=0,1,BA34)</f>
        <v>1</v>
      </c>
      <c r="BB27" s="256">
        <f>(AZ27/(BA27^2))</f>
        <v>6.8790625809127845E-4</v>
      </c>
      <c r="BD27" s="250" t="s">
        <v>597</v>
      </c>
      <c r="BE27" s="251">
        <v>2.5</v>
      </c>
      <c r="BF27" s="251">
        <v>0.94399999999999995</v>
      </c>
      <c r="BG27" s="251">
        <v>0.25</v>
      </c>
      <c r="BH27" s="251">
        <v>0.28299999999999997</v>
      </c>
      <c r="BI27" s="257">
        <v>1</v>
      </c>
      <c r="BJ27" s="253">
        <f>((PI()*BG27*BH27/4)*(BE27^2-BF27^2))*BI27</f>
        <v>0.29777556750239176</v>
      </c>
      <c r="BK27" s="254">
        <f>(((BJ27/386.4)*(BE27^2+BF27^2))/8)</f>
        <v>6.8790625809127845E-4</v>
      </c>
      <c r="BL27" s="251">
        <f>IF(BL34=0,1,BL34)</f>
        <v>1</v>
      </c>
      <c r="BM27" s="256">
        <f>(BK27/(BL27^2))</f>
        <v>6.8790625809127845E-4</v>
      </c>
      <c r="BO27" s="250" t="s">
        <v>597</v>
      </c>
      <c r="BP27" s="251">
        <v>2.6869999999999998</v>
      </c>
      <c r="BQ27" s="251">
        <v>1.6539999999999999</v>
      </c>
      <c r="BR27" s="251">
        <v>0.375</v>
      </c>
      <c r="BS27" s="251">
        <v>0.28299999999999997</v>
      </c>
      <c r="BT27" s="257">
        <v>1</v>
      </c>
      <c r="BU27" s="253">
        <f>((PI()*BR27*BS27/4)*(BP27^2-BQ27^2))*BT27</f>
        <v>0.37376419197220784</v>
      </c>
      <c r="BV27" s="254">
        <f>(((BU27/386.4)*(BP27^2+BQ27^2))/8)</f>
        <v>1.2037650619677893E-3</v>
      </c>
      <c r="BW27" s="255">
        <f>IF(BW34=0,1,BW34)</f>
        <v>1</v>
      </c>
      <c r="BX27" s="256">
        <f>(BV27/(BW27^2))</f>
        <v>1.2037650619677893E-3</v>
      </c>
      <c r="BZ27" s="250" t="s">
        <v>597</v>
      </c>
      <c r="CA27" s="251">
        <v>2.6869999999999998</v>
      </c>
      <c r="CB27" s="251">
        <v>1.6539999999999999</v>
      </c>
      <c r="CC27" s="251">
        <v>0.375</v>
      </c>
      <c r="CD27" s="251">
        <v>0.28299999999999997</v>
      </c>
      <c r="CE27" s="257">
        <v>1</v>
      </c>
      <c r="CF27" s="253">
        <f>((PI()*CC27*CD27/4)*(CA27^2-CB27^2))*CE27</f>
        <v>0.37376419197220784</v>
      </c>
      <c r="CG27" s="254">
        <f>(((CF27/386.4)*(CA27^2+CB27^2))/8)</f>
        <v>1.2037650619677893E-3</v>
      </c>
      <c r="CH27" s="255">
        <f>IF(CH34=0,1,CH34)</f>
        <v>1</v>
      </c>
      <c r="CI27" s="256">
        <f>(CG27/(CH27^2))</f>
        <v>1.2037650619677893E-3</v>
      </c>
      <c r="CK27" s="250" t="s">
        <v>615</v>
      </c>
      <c r="CL27" s="251">
        <v>2.375</v>
      </c>
      <c r="CM27" s="251">
        <v>0.54900000000000004</v>
      </c>
      <c r="CN27" s="251">
        <v>2.375</v>
      </c>
      <c r="CO27" s="251">
        <v>0.28299999999999997</v>
      </c>
      <c r="CP27" s="257">
        <v>1</v>
      </c>
      <c r="CQ27" s="253">
        <f>((PI()*CN27*CO27/4)*(CL27^2-CM27^2))*CP27</f>
        <v>2.8185002153278575</v>
      </c>
      <c r="CR27" s="254">
        <f>(((CQ27/386.4)*(CL27^2+CM27^2))/8)</f>
        <v>5.4178317677548299E-3</v>
      </c>
      <c r="CS27" s="255">
        <f>IF(CS34=0,1,CS34)</f>
        <v>1</v>
      </c>
      <c r="CT27" s="256">
        <f>(CR27/(CS27^2))</f>
        <v>5.4178317677548299E-3</v>
      </c>
      <c r="CV27" s="250" t="s">
        <v>605</v>
      </c>
      <c r="CW27" s="255">
        <v>6.5</v>
      </c>
      <c r="CX27" s="339">
        <v>3</v>
      </c>
      <c r="CY27" s="339">
        <v>2</v>
      </c>
      <c r="CZ27" s="251">
        <v>0.28299999999999997</v>
      </c>
      <c r="DA27" s="257">
        <v>1</v>
      </c>
      <c r="DB27" s="340">
        <f>((PI()*CY27*CZ27/4)*(CW27^2-CX27^2))*DA27</f>
        <v>14.780800736058277</v>
      </c>
      <c r="DC27" s="254">
        <f>(((DB27/386.4)*(CW27^2+CX27^2))/8)</f>
        <v>0.24505565402529333</v>
      </c>
      <c r="DD27" s="255">
        <f>IF($DD$37=0,1,$DD$37)</f>
        <v>5</v>
      </c>
      <c r="DE27" s="256">
        <f>(DC27/(DD27^2))</f>
        <v>9.8022261610117341E-3</v>
      </c>
      <c r="DG27" s="345"/>
      <c r="DH27" s="339"/>
      <c r="DI27" s="339"/>
      <c r="DJ27" s="339"/>
      <c r="DK27" s="254"/>
      <c r="DL27" s="245"/>
      <c r="DM27" s="340"/>
      <c r="DN27" s="254"/>
      <c r="DO27" s="255"/>
      <c r="DP27" s="256"/>
      <c r="DR27" s="345"/>
      <c r="DS27" s="258"/>
      <c r="DT27" s="258"/>
      <c r="DU27" s="258"/>
      <c r="DV27" s="251"/>
      <c r="DW27" s="257"/>
      <c r="DX27" s="340"/>
      <c r="DY27" s="254"/>
      <c r="DZ27" s="341"/>
      <c r="EA27" s="256"/>
    </row>
    <row r="28" spans="1:131" ht="15.75" x14ac:dyDescent="0.25">
      <c r="A28" s="248"/>
      <c r="B28" s="245"/>
      <c r="C28" s="245"/>
      <c r="D28" s="245"/>
      <c r="E28" s="245"/>
      <c r="F28" s="245"/>
      <c r="G28" s="245"/>
      <c r="H28" s="245"/>
      <c r="I28" s="245"/>
      <c r="J28" s="245"/>
      <c r="L28" s="248"/>
      <c r="M28" s="245"/>
      <c r="N28" s="245"/>
      <c r="O28" s="245"/>
      <c r="P28" s="245"/>
      <c r="Q28" s="245"/>
      <c r="R28" s="245"/>
      <c r="S28" s="245"/>
      <c r="T28" s="245"/>
      <c r="U28" s="245"/>
      <c r="W28" s="248"/>
      <c r="X28" s="245"/>
      <c r="Y28" s="245"/>
      <c r="Z28" s="245"/>
      <c r="AA28" s="245"/>
      <c r="AB28" s="245"/>
      <c r="AC28" s="245"/>
      <c r="AD28" s="245"/>
      <c r="AE28" s="245"/>
      <c r="AF28" s="245"/>
      <c r="AH28" s="248"/>
      <c r="AI28" s="245"/>
      <c r="AJ28" s="245"/>
      <c r="AK28" s="245"/>
      <c r="AL28" s="245"/>
      <c r="AM28" s="245"/>
      <c r="AN28" s="245"/>
      <c r="AO28" s="245"/>
      <c r="AP28" s="245"/>
      <c r="AQ28" s="245"/>
      <c r="AS28" s="250" t="s">
        <v>616</v>
      </c>
      <c r="AT28" s="251">
        <v>1.625</v>
      </c>
      <c r="AU28" s="251">
        <v>0.94399999999999995</v>
      </c>
      <c r="AV28" s="251">
        <v>1</v>
      </c>
      <c r="AW28" s="251">
        <v>0.28299999999999997</v>
      </c>
      <c r="AX28" s="257">
        <v>1</v>
      </c>
      <c r="AY28" s="253">
        <f>((PI()*AV28*AW28/4)*(AT28^2-AU28^2))*AX28</f>
        <v>0.38885486163798283</v>
      </c>
      <c r="AZ28" s="254">
        <f>(((AY28/386.4)*(AT28^2+AU28^2))/8)</f>
        <v>4.4427485604083336E-4</v>
      </c>
      <c r="BA28" s="251">
        <f>IF(BA34=0,1,BA34)</f>
        <v>1</v>
      </c>
      <c r="BB28" s="256">
        <f>(AZ28/(BA28^2))</f>
        <v>4.4427485604083336E-4</v>
      </c>
      <c r="BD28" s="250" t="s">
        <v>616</v>
      </c>
      <c r="BE28" s="251">
        <v>1.625</v>
      </c>
      <c r="BF28" s="251">
        <v>0.94399999999999995</v>
      </c>
      <c r="BG28" s="251">
        <v>1</v>
      </c>
      <c r="BH28" s="251">
        <v>0.28299999999999997</v>
      </c>
      <c r="BI28" s="257">
        <v>1</v>
      </c>
      <c r="BJ28" s="253">
        <f>((PI()*BG28*BH28/4)*(BE28^2-BF28^2))*BI28</f>
        <v>0.38885486163798283</v>
      </c>
      <c r="BK28" s="254">
        <f>(((BJ28/386.4)*(BE28^2+BF28^2))/8)</f>
        <v>4.4427485604083336E-4</v>
      </c>
      <c r="BL28" s="251">
        <f>IF(BL34=0,1,BL34)</f>
        <v>1</v>
      </c>
      <c r="BM28" s="256">
        <f>(BK28/(BL28^2))</f>
        <v>4.4427485604083336E-4</v>
      </c>
      <c r="BO28" s="250" t="s">
        <v>617</v>
      </c>
      <c r="BP28" s="251">
        <v>1.871</v>
      </c>
      <c r="BQ28" s="251">
        <v>1.6539999999999999</v>
      </c>
      <c r="BR28" s="251">
        <v>0.875</v>
      </c>
      <c r="BS28" s="251">
        <v>0.28299999999999997</v>
      </c>
      <c r="BT28" s="257">
        <v>1</v>
      </c>
      <c r="BU28" s="253">
        <f>((PI()*BR28*BS28/4)*(BP28^2-BQ28^2))*BT28</f>
        <v>0.14876584214512345</v>
      </c>
      <c r="BV28" s="254">
        <f>(((BU28/386.4)*(BP28^2+BQ28^2))/8)</f>
        <v>3.0012839706995199E-4</v>
      </c>
      <c r="BW28" s="255">
        <f>IF(BW34=0,1,BW34)</f>
        <v>1</v>
      </c>
      <c r="BX28" s="256">
        <f>(BV28/(BW28^2))</f>
        <v>3.0012839706995199E-4</v>
      </c>
      <c r="BZ28" s="250" t="s">
        <v>617</v>
      </c>
      <c r="CA28" s="251">
        <v>1.871</v>
      </c>
      <c r="CB28" s="251">
        <v>1.6539999999999999</v>
      </c>
      <c r="CC28" s="251">
        <v>0.875</v>
      </c>
      <c r="CD28" s="251">
        <v>0.28299999999999997</v>
      </c>
      <c r="CE28" s="257">
        <v>1</v>
      </c>
      <c r="CF28" s="253">
        <f>((PI()*CC28*CD28/4)*(CA28^2-CB28^2))*CE28</f>
        <v>0.14876584214512345</v>
      </c>
      <c r="CG28" s="254">
        <f>(((CF28/386.4)*(CA28^2+CB28^2))/8)</f>
        <v>3.0012839706995199E-4</v>
      </c>
      <c r="CH28" s="255">
        <f>IF(CH34=0,1,CH34)</f>
        <v>1</v>
      </c>
      <c r="CI28" s="256">
        <f>(CG28/(CH28^2))</f>
        <v>3.0012839706995199E-4</v>
      </c>
      <c r="CK28" s="250" t="s">
        <v>618</v>
      </c>
      <c r="CL28" s="251">
        <v>2.40625</v>
      </c>
      <c r="CM28" s="251">
        <v>1.5</v>
      </c>
      <c r="CN28" s="251">
        <v>3.125</v>
      </c>
      <c r="CO28" s="251">
        <v>0.28299999999999997</v>
      </c>
      <c r="CP28" s="257">
        <v>1</v>
      </c>
      <c r="CQ28" s="253">
        <f>((PI()*CN28*CO28/4)*(CL28^2-CM28^2))*CP28</f>
        <v>2.4588633449565345</v>
      </c>
      <c r="CR28" s="254">
        <f>(((CQ28/386.4)*(CL28^2+CM28^2))/8)</f>
        <v>6.3953666352225512E-3</v>
      </c>
      <c r="CS28" s="255">
        <f>IF(CS34=0,1,CS34)</f>
        <v>1</v>
      </c>
      <c r="CT28" s="256">
        <f>(CR28/(CS28^2))</f>
        <v>6.3953666352225512E-3</v>
      </c>
      <c r="CV28" s="345" t="s">
        <v>805</v>
      </c>
      <c r="CW28" s="255">
        <v>3</v>
      </c>
      <c r="CX28" s="339">
        <v>1.5740000000000001</v>
      </c>
      <c r="CY28" s="339">
        <v>2</v>
      </c>
      <c r="CZ28" s="251">
        <v>0.28299999999999997</v>
      </c>
      <c r="DA28" s="257">
        <v>1</v>
      </c>
      <c r="DB28" s="340">
        <f>((PI()*CY28*CZ28/4)*(CW28^2-CX28^2))*DA28</f>
        <v>2.8994925575987298</v>
      </c>
      <c r="DC28" s="254">
        <f>(((DB28/386.4)*(CW28^2+CX28^2))/8)</f>
        <v>1.0765675544131095E-2</v>
      </c>
      <c r="DD28" s="255">
        <f>IF($DD$37=0,1,$DD$37)</f>
        <v>5</v>
      </c>
      <c r="DE28" s="256">
        <f>(DC28/(DD28^2))</f>
        <v>4.3062702176524379E-4</v>
      </c>
      <c r="DG28" s="250" t="s">
        <v>605</v>
      </c>
      <c r="DH28" s="255">
        <v>6.32</v>
      </c>
      <c r="DI28" s="339">
        <v>3</v>
      </c>
      <c r="DJ28" s="339">
        <v>2</v>
      </c>
      <c r="DK28" s="254">
        <v>0.28299999999999997</v>
      </c>
      <c r="DL28" s="257">
        <v>1</v>
      </c>
      <c r="DM28" s="340">
        <f>((PI()*DJ28*DK28/4)*(DH28^2-DI28^2))*DL28</f>
        <v>13.754990938207809</v>
      </c>
      <c r="DN28" s="254">
        <f>(((DM28/386.4)*(DH28^2+DI28^2))/8)</f>
        <v>0.21778023696109669</v>
      </c>
      <c r="DO28" s="255">
        <f>IF(DO37=0,1,DO37)</f>
        <v>5</v>
      </c>
      <c r="DP28" s="256">
        <f>(DN28/(DO28^2))</f>
        <v>8.7112094784438671E-3</v>
      </c>
      <c r="DR28" s="345"/>
      <c r="DS28" s="258"/>
      <c r="DT28" s="258"/>
      <c r="DU28" s="258"/>
      <c r="DV28" s="245"/>
      <c r="DW28" s="245"/>
      <c r="DX28" s="340"/>
      <c r="DY28" s="254"/>
      <c r="DZ28" s="341"/>
      <c r="EA28" s="256"/>
    </row>
    <row r="29" spans="1:131" ht="15.75" x14ac:dyDescent="0.25">
      <c r="A29" s="248"/>
      <c r="B29" s="338" t="s">
        <v>619</v>
      </c>
      <c r="C29" s="338" t="s">
        <v>620</v>
      </c>
      <c r="D29" s="338"/>
      <c r="E29" s="338" t="s">
        <v>621</v>
      </c>
      <c r="F29" s="338"/>
      <c r="G29" s="245"/>
      <c r="H29" s="338" t="s">
        <v>576</v>
      </c>
      <c r="I29" s="338" t="s">
        <v>103</v>
      </c>
      <c r="J29" s="338" t="s">
        <v>577</v>
      </c>
      <c r="L29" s="248"/>
      <c r="M29" s="338" t="s">
        <v>619</v>
      </c>
      <c r="N29" s="338" t="s">
        <v>620</v>
      </c>
      <c r="O29" s="338"/>
      <c r="P29" s="338" t="s">
        <v>621</v>
      </c>
      <c r="Q29" s="338"/>
      <c r="R29" s="245"/>
      <c r="S29" s="338" t="s">
        <v>576</v>
      </c>
      <c r="T29" s="338" t="s">
        <v>103</v>
      </c>
      <c r="U29" s="338" t="s">
        <v>577</v>
      </c>
      <c r="W29" s="248"/>
      <c r="X29" s="338" t="s">
        <v>619</v>
      </c>
      <c r="Y29" s="338" t="s">
        <v>620</v>
      </c>
      <c r="Z29" s="338"/>
      <c r="AA29" s="338" t="s">
        <v>621</v>
      </c>
      <c r="AB29" s="338"/>
      <c r="AC29" s="245"/>
      <c r="AD29" s="338" t="s">
        <v>576</v>
      </c>
      <c r="AE29" s="338" t="s">
        <v>103</v>
      </c>
      <c r="AF29" s="338" t="s">
        <v>577</v>
      </c>
      <c r="AH29" s="248"/>
      <c r="AI29" s="338" t="s">
        <v>619</v>
      </c>
      <c r="AJ29" s="338" t="s">
        <v>620</v>
      </c>
      <c r="AK29" s="338"/>
      <c r="AL29" s="338" t="s">
        <v>621</v>
      </c>
      <c r="AM29" s="338"/>
      <c r="AN29" s="245"/>
      <c r="AO29" s="338" t="s">
        <v>576</v>
      </c>
      <c r="AP29" s="338" t="s">
        <v>103</v>
      </c>
      <c r="AQ29" s="338" t="s">
        <v>577</v>
      </c>
      <c r="AS29" s="248"/>
      <c r="AT29" s="258"/>
      <c r="AU29" s="258"/>
      <c r="AV29" s="258"/>
      <c r="AW29" s="258"/>
      <c r="AX29" s="258"/>
      <c r="AY29" s="258"/>
      <c r="AZ29" s="258"/>
      <c r="BA29" s="258"/>
      <c r="BB29" s="258"/>
      <c r="BD29" s="248"/>
      <c r="BE29" s="258"/>
      <c r="BF29" s="258"/>
      <c r="BG29" s="258"/>
      <c r="BH29" s="258"/>
      <c r="BI29" s="258"/>
      <c r="BJ29" s="258"/>
      <c r="BK29" s="258"/>
      <c r="BL29" s="258"/>
      <c r="BM29" s="258"/>
      <c r="BO29" s="248"/>
      <c r="BP29" s="258"/>
      <c r="BQ29" s="258"/>
      <c r="BR29" s="258"/>
      <c r="BS29" s="258"/>
      <c r="BT29" s="258"/>
      <c r="BU29" s="258"/>
      <c r="BV29" s="258"/>
      <c r="BW29" s="258"/>
      <c r="BX29" s="258"/>
      <c r="BZ29" s="248"/>
      <c r="CA29" s="258"/>
      <c r="CB29" s="258"/>
      <c r="CC29" s="258"/>
      <c r="CD29" s="258"/>
      <c r="CE29" s="258"/>
      <c r="CF29" s="258"/>
      <c r="CG29" s="258"/>
      <c r="CH29" s="258"/>
      <c r="CI29" s="258"/>
      <c r="CK29" s="250"/>
      <c r="CL29" s="251"/>
      <c r="CM29" s="251"/>
      <c r="CN29" s="251"/>
      <c r="CO29" s="251"/>
      <c r="CP29" s="245"/>
      <c r="CQ29" s="253"/>
      <c r="CR29" s="254"/>
      <c r="CS29" s="245"/>
      <c r="CT29" s="245"/>
      <c r="CV29" s="250" t="s">
        <v>804</v>
      </c>
      <c r="CW29" s="255"/>
      <c r="CX29" s="339"/>
      <c r="CY29" s="339"/>
      <c r="CZ29" s="251"/>
      <c r="DA29" s="257"/>
      <c r="DB29" s="340"/>
      <c r="DC29" s="254"/>
      <c r="DD29" s="255"/>
      <c r="DE29" s="256"/>
      <c r="DG29" s="345" t="s">
        <v>805</v>
      </c>
      <c r="DH29" s="255">
        <v>3</v>
      </c>
      <c r="DI29" s="339">
        <v>1.5740000000000001</v>
      </c>
      <c r="DJ29" s="339">
        <v>2</v>
      </c>
      <c r="DK29" s="254">
        <v>0.28299999999999997</v>
      </c>
      <c r="DL29" s="257">
        <v>1</v>
      </c>
      <c r="DM29" s="340">
        <f>((PI()*DJ29*DK29/4)*(DH29^2-DI29^2))*DL29</f>
        <v>2.8994925575987298</v>
      </c>
      <c r="DN29" s="254">
        <f>(((DM29/386.4)*(DH29^2+DI29^2))/8)</f>
        <v>1.0765675544131095E-2</v>
      </c>
      <c r="DO29" s="255">
        <f>IF(DO37=0,1,DO37)</f>
        <v>5</v>
      </c>
      <c r="DP29" s="256">
        <f>(DN29/(DO29^2))</f>
        <v>4.3062702176524379E-4</v>
      </c>
      <c r="DR29" s="250" t="s">
        <v>605</v>
      </c>
      <c r="DS29" s="255">
        <v>6.32</v>
      </c>
      <c r="DT29" s="339">
        <v>3</v>
      </c>
      <c r="DU29" s="339">
        <v>2</v>
      </c>
      <c r="DV29" s="251">
        <v>0.28299999999999997</v>
      </c>
      <c r="DW29" s="257">
        <v>1</v>
      </c>
      <c r="DX29" s="340">
        <f>((PI()*DU29*DV29/4)*(DS29^2-DT29^2))*DW29</f>
        <v>13.754990938207809</v>
      </c>
      <c r="DY29" s="254">
        <f>(((DX29/386.4)*(DS29^2+DT29^2))/8)</f>
        <v>0.21778023696109669</v>
      </c>
      <c r="DZ29" s="341">
        <f>IF(DZ37=0,1,DZ37)</f>
        <v>5</v>
      </c>
      <c r="EA29" s="256">
        <f>(DY29/(DZ29^2))</f>
        <v>8.7112094784438671E-3</v>
      </c>
    </row>
    <row r="30" spans="1:131" ht="15.75" x14ac:dyDescent="0.25">
      <c r="A30" s="248"/>
      <c r="B30" s="338"/>
      <c r="C30" s="338"/>
      <c r="D30" s="338"/>
      <c r="E30" s="338"/>
      <c r="F30" s="338"/>
      <c r="G30" s="245"/>
      <c r="H30" s="338"/>
      <c r="I30" s="338"/>
      <c r="J30" s="338"/>
      <c r="L30" s="248"/>
      <c r="M30" s="338"/>
      <c r="N30" s="338"/>
      <c r="O30" s="338"/>
      <c r="P30" s="338"/>
      <c r="Q30" s="338"/>
      <c r="R30" s="245"/>
      <c r="S30" s="338"/>
      <c r="T30" s="338"/>
      <c r="U30" s="338"/>
      <c r="W30" s="248"/>
      <c r="X30" s="338"/>
      <c r="Y30" s="338"/>
      <c r="Z30" s="338"/>
      <c r="AA30" s="338"/>
      <c r="AB30" s="338"/>
      <c r="AC30" s="245"/>
      <c r="AD30" s="338"/>
      <c r="AE30" s="338"/>
      <c r="AF30" s="338"/>
      <c r="AH30" s="248"/>
      <c r="AI30" s="338"/>
      <c r="AJ30" s="338"/>
      <c r="AK30" s="338"/>
      <c r="AL30" s="338"/>
      <c r="AM30" s="338"/>
      <c r="AN30" s="245"/>
      <c r="AO30" s="338"/>
      <c r="AP30" s="338"/>
      <c r="AQ30" s="338"/>
      <c r="AS30" s="248"/>
      <c r="AT30" s="245"/>
      <c r="AU30" s="245"/>
      <c r="AV30" s="245"/>
      <c r="AW30" s="245"/>
      <c r="AX30" s="245"/>
      <c r="AY30" s="245"/>
      <c r="AZ30" s="245"/>
      <c r="BA30" s="245"/>
      <c r="BB30" s="245"/>
      <c r="BD30" s="248"/>
      <c r="BE30" s="245"/>
      <c r="BF30" s="245"/>
      <c r="BG30" s="245"/>
      <c r="BH30" s="245"/>
      <c r="BI30" s="245"/>
      <c r="BJ30" s="245"/>
      <c r="BK30" s="245"/>
      <c r="BL30" s="245"/>
      <c r="BM30" s="245"/>
      <c r="BO30" s="248"/>
      <c r="BP30" s="245"/>
      <c r="BQ30" s="245"/>
      <c r="BR30" s="245"/>
      <c r="BS30" s="245"/>
      <c r="BT30" s="245"/>
      <c r="BU30" s="245"/>
      <c r="BV30" s="245"/>
      <c r="BW30" s="245"/>
      <c r="BX30" s="245"/>
      <c r="BZ30" s="248"/>
      <c r="CA30" s="245"/>
      <c r="CB30" s="245"/>
      <c r="CC30" s="245"/>
      <c r="CD30" s="245"/>
      <c r="CE30" s="245"/>
      <c r="CF30" s="245"/>
      <c r="CG30" s="245"/>
      <c r="CH30" s="245"/>
      <c r="CI30" s="245"/>
      <c r="CK30" s="248"/>
      <c r="CL30" s="245"/>
      <c r="CM30" s="245"/>
      <c r="CN30" s="245"/>
      <c r="CO30" s="245"/>
      <c r="CP30" s="245"/>
      <c r="CQ30" s="245"/>
      <c r="CR30" s="245"/>
      <c r="CS30" s="245"/>
      <c r="CT30" s="245"/>
      <c r="CV30" s="250"/>
      <c r="CW30" s="255"/>
      <c r="CX30" s="339"/>
      <c r="CY30" s="339"/>
      <c r="CZ30" s="251"/>
      <c r="DA30" s="257"/>
      <c r="DB30" s="340"/>
      <c r="DC30" s="254"/>
      <c r="DD30" s="255"/>
      <c r="DE30" s="256"/>
      <c r="DG30" s="250" t="s">
        <v>804</v>
      </c>
      <c r="DH30" s="339"/>
      <c r="DI30" s="339"/>
      <c r="DJ30" s="339"/>
      <c r="DK30" s="254"/>
      <c r="DL30" s="257"/>
      <c r="DM30" s="340"/>
      <c r="DN30" s="254"/>
      <c r="DO30" s="255"/>
      <c r="DP30" s="256"/>
      <c r="DR30" s="345" t="s">
        <v>805</v>
      </c>
      <c r="DS30" s="255">
        <v>3</v>
      </c>
      <c r="DT30" s="339">
        <v>1.5740000000000001</v>
      </c>
      <c r="DU30" s="339">
        <v>2</v>
      </c>
      <c r="DV30" s="251">
        <v>0.28299999999999997</v>
      </c>
      <c r="DW30" s="257">
        <v>1</v>
      </c>
      <c r="DX30" s="340">
        <f>((PI()*DU30*DV30/4)*(DS30^2-DT30^2))*DW30</f>
        <v>2.8994925575987298</v>
      </c>
      <c r="DY30" s="254">
        <f>(((DX30/386.4)*(DS30^2+DT30^2))/8)</f>
        <v>1.0765675544131095E-2</v>
      </c>
      <c r="DZ30" s="341">
        <f>IF(DZ37=0,1,DZ37)</f>
        <v>5</v>
      </c>
      <c r="EA30" s="256">
        <f>(DY30/(DZ30^2))</f>
        <v>4.3062702176524379E-4</v>
      </c>
    </row>
    <row r="31" spans="1:131" ht="15.75" x14ac:dyDescent="0.25">
      <c r="A31" s="248"/>
      <c r="B31" s="338"/>
      <c r="C31" s="338"/>
      <c r="D31" s="338"/>
      <c r="E31" s="338"/>
      <c r="F31" s="338"/>
      <c r="G31" s="245"/>
      <c r="H31" s="338"/>
      <c r="I31" s="338"/>
      <c r="J31" s="338"/>
      <c r="L31" s="248"/>
      <c r="M31" s="338"/>
      <c r="N31" s="338"/>
      <c r="O31" s="338"/>
      <c r="P31" s="338"/>
      <c r="Q31" s="338"/>
      <c r="R31" s="245"/>
      <c r="S31" s="338"/>
      <c r="T31" s="338"/>
      <c r="U31" s="338"/>
      <c r="W31" s="248"/>
      <c r="X31" s="338"/>
      <c r="Y31" s="338"/>
      <c r="Z31" s="338"/>
      <c r="AA31" s="338"/>
      <c r="AB31" s="338"/>
      <c r="AC31" s="245"/>
      <c r="AD31" s="338"/>
      <c r="AE31" s="338"/>
      <c r="AF31" s="338"/>
      <c r="AH31" s="248"/>
      <c r="AI31" s="338"/>
      <c r="AJ31" s="338"/>
      <c r="AK31" s="338"/>
      <c r="AL31" s="338"/>
      <c r="AM31" s="338"/>
      <c r="AN31" s="245"/>
      <c r="AO31" s="338"/>
      <c r="AP31" s="338"/>
      <c r="AQ31" s="338"/>
      <c r="AS31" s="248"/>
      <c r="AT31" s="338" t="s">
        <v>619</v>
      </c>
      <c r="AU31" s="338" t="s">
        <v>620</v>
      </c>
      <c r="AV31" s="338"/>
      <c r="AW31" s="338" t="s">
        <v>621</v>
      </c>
      <c r="AX31" s="338"/>
      <c r="AY31" s="245"/>
      <c r="AZ31" s="338" t="s">
        <v>576</v>
      </c>
      <c r="BA31" s="338" t="s">
        <v>103</v>
      </c>
      <c r="BB31" s="338" t="s">
        <v>577</v>
      </c>
      <c r="BD31" s="248"/>
      <c r="BE31" s="338" t="s">
        <v>619</v>
      </c>
      <c r="BF31" s="338" t="s">
        <v>620</v>
      </c>
      <c r="BG31" s="338"/>
      <c r="BH31" s="338" t="s">
        <v>621</v>
      </c>
      <c r="BI31" s="338"/>
      <c r="BJ31" s="245"/>
      <c r="BK31" s="338" t="s">
        <v>576</v>
      </c>
      <c r="BL31" s="338" t="s">
        <v>103</v>
      </c>
      <c r="BM31" s="338" t="s">
        <v>577</v>
      </c>
      <c r="BO31" s="248"/>
      <c r="BP31" s="338" t="s">
        <v>619</v>
      </c>
      <c r="BQ31" s="338" t="s">
        <v>620</v>
      </c>
      <c r="BR31" s="338"/>
      <c r="BS31" s="338" t="s">
        <v>621</v>
      </c>
      <c r="BT31" s="338"/>
      <c r="BU31" s="245"/>
      <c r="BV31" s="338" t="s">
        <v>576</v>
      </c>
      <c r="BW31" s="338" t="s">
        <v>103</v>
      </c>
      <c r="BX31" s="338" t="s">
        <v>577</v>
      </c>
      <c r="BZ31" s="248"/>
      <c r="CA31" s="338" t="s">
        <v>619</v>
      </c>
      <c r="CB31" s="338" t="s">
        <v>620</v>
      </c>
      <c r="CC31" s="338"/>
      <c r="CD31" s="338" t="s">
        <v>621</v>
      </c>
      <c r="CE31" s="338"/>
      <c r="CF31" s="245"/>
      <c r="CG31" s="338" t="s">
        <v>576</v>
      </c>
      <c r="CH31" s="338" t="s">
        <v>103</v>
      </c>
      <c r="CI31" s="338" t="s">
        <v>577</v>
      </c>
      <c r="CK31" s="248"/>
      <c r="CL31" s="338" t="s">
        <v>619</v>
      </c>
      <c r="CM31" s="338" t="s">
        <v>620</v>
      </c>
      <c r="CN31" s="338"/>
      <c r="CO31" s="338" t="s">
        <v>621</v>
      </c>
      <c r="CP31" s="338"/>
      <c r="CQ31" s="245"/>
      <c r="CR31" s="338" t="s">
        <v>576</v>
      </c>
      <c r="CS31" s="338" t="s">
        <v>103</v>
      </c>
      <c r="CT31" s="338" t="s">
        <v>577</v>
      </c>
      <c r="CV31" s="248"/>
      <c r="CW31" s="258"/>
      <c r="CX31" s="258"/>
      <c r="CY31" s="258"/>
      <c r="CZ31" s="258"/>
      <c r="DA31" s="258"/>
      <c r="DB31" s="346"/>
      <c r="DC31" s="258"/>
      <c r="DD31" s="258"/>
      <c r="DE31" s="258"/>
      <c r="DG31" s="250"/>
      <c r="DH31" s="339"/>
      <c r="DI31" s="339"/>
      <c r="DJ31" s="339"/>
      <c r="DK31" s="254"/>
      <c r="DL31" s="257"/>
      <c r="DM31" s="340"/>
      <c r="DN31" s="254"/>
      <c r="DO31" s="255"/>
      <c r="DP31" s="256"/>
      <c r="DR31" s="250" t="s">
        <v>804</v>
      </c>
      <c r="DS31" s="339"/>
      <c r="DT31" s="339"/>
      <c r="DU31" s="339"/>
      <c r="DV31" s="251"/>
      <c r="DW31" s="245"/>
      <c r="DX31" s="347"/>
      <c r="DY31" s="348"/>
      <c r="DZ31" s="341"/>
      <c r="EA31" s="349"/>
    </row>
    <row r="32" spans="1:131" ht="15.75" x14ac:dyDescent="0.25">
      <c r="A32" s="250" t="s">
        <v>622</v>
      </c>
      <c r="B32" s="245"/>
      <c r="C32" s="245"/>
      <c r="D32" s="245"/>
      <c r="E32" s="257">
        <v>1</v>
      </c>
      <c r="F32" s="257">
        <v>0</v>
      </c>
      <c r="G32" s="245"/>
      <c r="H32" s="257">
        <v>0</v>
      </c>
      <c r="I32" s="257">
        <v>0</v>
      </c>
      <c r="J32" s="257">
        <f>H32*F32</f>
        <v>0</v>
      </c>
      <c r="L32" s="250" t="s">
        <v>622</v>
      </c>
      <c r="M32" s="245"/>
      <c r="N32" s="245"/>
      <c r="O32" s="245"/>
      <c r="P32" s="257">
        <v>1</v>
      </c>
      <c r="Q32" s="257">
        <v>0</v>
      </c>
      <c r="R32" s="245"/>
      <c r="S32" s="257">
        <v>0</v>
      </c>
      <c r="T32" s="257">
        <v>0</v>
      </c>
      <c r="U32" s="257">
        <f>S32*T32</f>
        <v>0</v>
      </c>
      <c r="W32" s="250" t="s">
        <v>622</v>
      </c>
      <c r="X32" s="245"/>
      <c r="Y32" s="245"/>
      <c r="Z32" s="245"/>
      <c r="AA32" s="257">
        <v>1</v>
      </c>
      <c r="AB32" s="257">
        <v>0</v>
      </c>
      <c r="AC32" s="245"/>
      <c r="AD32" s="257">
        <v>0</v>
      </c>
      <c r="AE32" s="257">
        <v>0</v>
      </c>
      <c r="AF32" s="257">
        <f>AD32*AE32</f>
        <v>0</v>
      </c>
      <c r="AH32" s="250" t="s">
        <v>622</v>
      </c>
      <c r="AI32" s="245"/>
      <c r="AJ32" s="245"/>
      <c r="AK32" s="245"/>
      <c r="AL32" s="257">
        <v>1</v>
      </c>
      <c r="AM32" s="257">
        <v>0</v>
      </c>
      <c r="AN32" s="245"/>
      <c r="AO32" s="257">
        <v>0</v>
      </c>
      <c r="AP32" s="257">
        <v>0</v>
      </c>
      <c r="AQ32" s="257">
        <f>AO32*AP32</f>
        <v>0</v>
      </c>
      <c r="AS32" s="248"/>
      <c r="AT32" s="338"/>
      <c r="AU32" s="338"/>
      <c r="AV32" s="338"/>
      <c r="AW32" s="338"/>
      <c r="AX32" s="338"/>
      <c r="AY32" s="245"/>
      <c r="AZ32" s="338"/>
      <c r="BA32" s="338"/>
      <c r="BB32" s="338"/>
      <c r="BD32" s="248"/>
      <c r="BE32" s="338"/>
      <c r="BF32" s="338"/>
      <c r="BG32" s="338"/>
      <c r="BH32" s="338"/>
      <c r="BI32" s="338"/>
      <c r="BJ32" s="245"/>
      <c r="BK32" s="338"/>
      <c r="BL32" s="338"/>
      <c r="BM32" s="338"/>
      <c r="BO32" s="248"/>
      <c r="BP32" s="338"/>
      <c r="BQ32" s="338"/>
      <c r="BR32" s="338"/>
      <c r="BS32" s="338"/>
      <c r="BT32" s="338"/>
      <c r="BU32" s="245"/>
      <c r="BV32" s="338"/>
      <c r="BW32" s="338"/>
      <c r="BX32" s="338"/>
      <c r="BZ32" s="248"/>
      <c r="CA32" s="338"/>
      <c r="CB32" s="338"/>
      <c r="CC32" s="338"/>
      <c r="CD32" s="338"/>
      <c r="CE32" s="338"/>
      <c r="CF32" s="245"/>
      <c r="CG32" s="338"/>
      <c r="CH32" s="338"/>
      <c r="CI32" s="338"/>
      <c r="CK32" s="248"/>
      <c r="CL32" s="338"/>
      <c r="CM32" s="338"/>
      <c r="CN32" s="338"/>
      <c r="CO32" s="338"/>
      <c r="CP32" s="338"/>
      <c r="CQ32" s="245"/>
      <c r="CR32" s="338"/>
      <c r="CS32" s="338"/>
      <c r="CT32" s="338"/>
      <c r="CV32" s="248"/>
      <c r="CW32" s="258"/>
      <c r="CX32" s="258"/>
      <c r="CY32" s="258"/>
      <c r="CZ32" s="258"/>
      <c r="DA32" s="258"/>
      <c r="DB32" s="346"/>
      <c r="DC32" s="258"/>
      <c r="DD32" s="258"/>
      <c r="DE32" s="258"/>
      <c r="DG32" s="248"/>
      <c r="DH32" s="258"/>
      <c r="DI32" s="258"/>
      <c r="DJ32" s="258"/>
      <c r="DK32" s="258"/>
      <c r="DL32" s="258"/>
      <c r="DM32" s="346"/>
      <c r="DN32" s="258"/>
      <c r="DO32" s="258"/>
      <c r="DP32" s="258"/>
      <c r="DR32" s="250"/>
      <c r="DS32" s="341"/>
      <c r="DT32" s="341"/>
      <c r="DU32" s="258"/>
      <c r="DV32" s="343"/>
      <c r="DW32" s="245"/>
      <c r="DX32" s="347"/>
      <c r="DY32" s="348"/>
      <c r="DZ32" s="341"/>
      <c r="EA32" s="349"/>
    </row>
    <row r="33" spans="1:131" ht="15.75" x14ac:dyDescent="0.25">
      <c r="A33" s="250"/>
      <c r="B33" s="245"/>
      <c r="C33" s="245"/>
      <c r="D33" s="245"/>
      <c r="E33" s="245"/>
      <c r="F33" s="245"/>
      <c r="G33" s="245"/>
      <c r="H33" s="245"/>
      <c r="I33" s="245"/>
      <c r="J33" s="245"/>
      <c r="L33" s="250"/>
      <c r="M33" s="245"/>
      <c r="N33" s="245"/>
      <c r="O33" s="245"/>
      <c r="P33" s="245"/>
      <c r="Q33" s="245"/>
      <c r="R33" s="245"/>
      <c r="S33" s="245"/>
      <c r="T33" s="245"/>
      <c r="U33" s="245"/>
      <c r="W33" s="250"/>
      <c r="X33" s="245"/>
      <c r="Y33" s="245"/>
      <c r="Z33" s="245"/>
      <c r="AA33" s="245"/>
      <c r="AB33" s="245"/>
      <c r="AC33" s="245"/>
      <c r="AD33" s="245"/>
      <c r="AE33" s="245"/>
      <c r="AF33" s="245"/>
      <c r="AH33" s="250"/>
      <c r="AI33" s="245"/>
      <c r="AJ33" s="245"/>
      <c r="AK33" s="245"/>
      <c r="AL33" s="245"/>
      <c r="AM33" s="245"/>
      <c r="AN33" s="245"/>
      <c r="AO33" s="245"/>
      <c r="AP33" s="245"/>
      <c r="AQ33" s="245"/>
      <c r="AS33" s="248"/>
      <c r="AT33" s="338"/>
      <c r="AU33" s="338"/>
      <c r="AV33" s="338"/>
      <c r="AW33" s="338"/>
      <c r="AX33" s="338"/>
      <c r="AY33" s="245"/>
      <c r="AZ33" s="338"/>
      <c r="BA33" s="338"/>
      <c r="BB33" s="338"/>
      <c r="BD33" s="248"/>
      <c r="BE33" s="338"/>
      <c r="BF33" s="338"/>
      <c r="BG33" s="338"/>
      <c r="BH33" s="338"/>
      <c r="BI33" s="338"/>
      <c r="BJ33" s="245"/>
      <c r="BK33" s="338"/>
      <c r="BL33" s="338"/>
      <c r="BM33" s="338"/>
      <c r="BO33" s="248"/>
      <c r="BP33" s="338"/>
      <c r="BQ33" s="338"/>
      <c r="BR33" s="338"/>
      <c r="BS33" s="338"/>
      <c r="BT33" s="338"/>
      <c r="BU33" s="245"/>
      <c r="BV33" s="338"/>
      <c r="BW33" s="338"/>
      <c r="BX33" s="338"/>
      <c r="BZ33" s="248"/>
      <c r="CA33" s="338"/>
      <c r="CB33" s="338"/>
      <c r="CC33" s="338"/>
      <c r="CD33" s="338"/>
      <c r="CE33" s="338"/>
      <c r="CF33" s="245"/>
      <c r="CG33" s="338"/>
      <c r="CH33" s="338"/>
      <c r="CI33" s="338"/>
      <c r="CK33" s="248"/>
      <c r="CL33" s="338"/>
      <c r="CM33" s="338"/>
      <c r="CN33" s="338"/>
      <c r="CO33" s="338"/>
      <c r="CP33" s="338"/>
      <c r="CQ33" s="245"/>
      <c r="CR33" s="338"/>
      <c r="CS33" s="338"/>
      <c r="CT33" s="338"/>
      <c r="CV33" s="248"/>
      <c r="CW33" s="245"/>
      <c r="CX33" s="245"/>
      <c r="CY33" s="245"/>
      <c r="CZ33" s="245"/>
      <c r="DA33" s="245"/>
      <c r="DB33" s="245"/>
      <c r="DC33" s="245"/>
      <c r="DD33" s="245"/>
      <c r="DE33" s="245"/>
      <c r="DG33" s="248"/>
      <c r="DH33" s="258"/>
      <c r="DI33" s="258"/>
      <c r="DJ33" s="258"/>
      <c r="DK33" s="258"/>
      <c r="DL33" s="258"/>
      <c r="DM33" s="346"/>
      <c r="DN33" s="258"/>
      <c r="DO33" s="258"/>
      <c r="DP33" s="258"/>
      <c r="DR33" s="248"/>
      <c r="DS33" s="245"/>
      <c r="DT33" s="245"/>
      <c r="DU33" s="245"/>
      <c r="DV33" s="245"/>
      <c r="DW33" s="245"/>
      <c r="DX33" s="245"/>
      <c r="DY33" s="245"/>
      <c r="DZ33" s="245"/>
      <c r="EA33" s="245"/>
    </row>
    <row r="34" spans="1:131" ht="15.75" x14ac:dyDescent="0.25">
      <c r="A34" s="250"/>
      <c r="B34" s="245"/>
      <c r="C34" s="245"/>
      <c r="D34" s="245"/>
      <c r="E34" s="245"/>
      <c r="F34" s="245"/>
      <c r="G34" s="245"/>
      <c r="H34" s="245"/>
      <c r="I34" s="245"/>
      <c r="J34" s="245"/>
      <c r="L34" s="250"/>
      <c r="M34" s="245"/>
      <c r="N34" s="245"/>
      <c r="O34" s="245"/>
      <c r="P34" s="245"/>
      <c r="Q34" s="245"/>
      <c r="R34" s="245"/>
      <c r="S34" s="245"/>
      <c r="T34" s="245"/>
      <c r="U34" s="245"/>
      <c r="W34" s="250"/>
      <c r="X34" s="245"/>
      <c r="Y34" s="245"/>
      <c r="Z34" s="245"/>
      <c r="AA34" s="245"/>
      <c r="AB34" s="245"/>
      <c r="AC34" s="245"/>
      <c r="AD34" s="245"/>
      <c r="AE34" s="245"/>
      <c r="AF34" s="245"/>
      <c r="AH34" s="250"/>
      <c r="AI34" s="245"/>
      <c r="AJ34" s="245"/>
      <c r="AK34" s="245"/>
      <c r="AL34" s="245"/>
      <c r="AM34" s="245"/>
      <c r="AN34" s="245"/>
      <c r="AO34" s="245"/>
      <c r="AP34" s="245"/>
      <c r="AQ34" s="245"/>
      <c r="AS34" s="250" t="s">
        <v>622</v>
      </c>
      <c r="AT34" s="245"/>
      <c r="AU34" s="245"/>
      <c r="AV34" s="245"/>
      <c r="AW34" s="257">
        <v>1</v>
      </c>
      <c r="AX34" s="257">
        <v>0</v>
      </c>
      <c r="AY34" s="245"/>
      <c r="AZ34" s="257">
        <v>0</v>
      </c>
      <c r="BA34" s="257">
        <v>0</v>
      </c>
      <c r="BB34" s="257">
        <f>AZ34*BA34</f>
        <v>0</v>
      </c>
      <c r="BD34" s="250" t="s">
        <v>622</v>
      </c>
      <c r="BE34" s="245"/>
      <c r="BF34" s="245"/>
      <c r="BG34" s="245"/>
      <c r="BH34" s="257">
        <v>1</v>
      </c>
      <c r="BI34" s="257">
        <v>0</v>
      </c>
      <c r="BJ34" s="245"/>
      <c r="BK34" s="257">
        <v>0</v>
      </c>
      <c r="BL34" s="257">
        <v>0</v>
      </c>
      <c r="BM34" s="257">
        <f>BK34*BL34</f>
        <v>0</v>
      </c>
      <c r="BO34" s="250" t="s">
        <v>622</v>
      </c>
      <c r="BP34" s="245"/>
      <c r="BQ34" s="245"/>
      <c r="BR34" s="245"/>
      <c r="BS34" s="257">
        <v>1</v>
      </c>
      <c r="BT34" s="257">
        <v>0</v>
      </c>
      <c r="BU34" s="245"/>
      <c r="BV34" s="257">
        <v>0</v>
      </c>
      <c r="BW34" s="257">
        <v>0</v>
      </c>
      <c r="BX34" s="257">
        <f>BV34*BW34</f>
        <v>0</v>
      </c>
      <c r="BZ34" s="250" t="s">
        <v>622</v>
      </c>
      <c r="CA34" s="245"/>
      <c r="CB34" s="245"/>
      <c r="CC34" s="245"/>
      <c r="CD34" s="257">
        <v>1</v>
      </c>
      <c r="CE34" s="257">
        <v>0</v>
      </c>
      <c r="CF34" s="245"/>
      <c r="CG34" s="257">
        <v>0</v>
      </c>
      <c r="CH34" s="257">
        <v>0</v>
      </c>
      <c r="CI34" s="257">
        <f>CG34*CH34</f>
        <v>0</v>
      </c>
      <c r="CK34" s="250" t="s">
        <v>622</v>
      </c>
      <c r="CL34" s="245"/>
      <c r="CM34" s="245"/>
      <c r="CN34" s="245"/>
      <c r="CO34" s="257">
        <v>1</v>
      </c>
      <c r="CP34" s="257">
        <v>0</v>
      </c>
      <c r="CQ34" s="245"/>
      <c r="CR34" s="257">
        <v>0</v>
      </c>
      <c r="CS34" s="257">
        <v>0</v>
      </c>
      <c r="CT34" s="257">
        <f>CR34*CS34</f>
        <v>0</v>
      </c>
      <c r="CV34" s="248"/>
      <c r="CW34" s="338" t="s">
        <v>619</v>
      </c>
      <c r="CX34" s="338" t="s">
        <v>620</v>
      </c>
      <c r="CY34" s="338"/>
      <c r="CZ34" s="338" t="s">
        <v>621</v>
      </c>
      <c r="DA34" s="338" t="s">
        <v>574</v>
      </c>
      <c r="DB34" s="245"/>
      <c r="DC34" s="338" t="s">
        <v>576</v>
      </c>
      <c r="DD34" s="338" t="s">
        <v>103</v>
      </c>
      <c r="DE34" s="338" t="s">
        <v>577</v>
      </c>
      <c r="DG34" s="248"/>
      <c r="DH34" s="338" t="s">
        <v>619</v>
      </c>
      <c r="DI34" s="338" t="s">
        <v>620</v>
      </c>
      <c r="DJ34" s="338"/>
      <c r="DK34" s="338" t="s">
        <v>621</v>
      </c>
      <c r="DL34" s="338" t="s">
        <v>574</v>
      </c>
      <c r="DM34" s="245"/>
      <c r="DN34" s="338" t="s">
        <v>576</v>
      </c>
      <c r="DO34" s="338" t="s">
        <v>103</v>
      </c>
      <c r="DP34" s="338" t="s">
        <v>577</v>
      </c>
      <c r="DR34" s="248"/>
      <c r="DS34" s="338" t="s">
        <v>619</v>
      </c>
      <c r="DT34" s="338" t="s">
        <v>620</v>
      </c>
      <c r="DU34" s="338"/>
      <c r="DV34" s="338" t="s">
        <v>621</v>
      </c>
      <c r="DW34" s="338" t="s">
        <v>574</v>
      </c>
      <c r="DX34" s="245"/>
      <c r="DY34" s="338" t="s">
        <v>576</v>
      </c>
      <c r="DZ34" s="338" t="s">
        <v>103</v>
      </c>
      <c r="EA34" s="338" t="s">
        <v>577</v>
      </c>
    </row>
    <row r="35" spans="1:131" ht="15.75" x14ac:dyDescent="0.25">
      <c r="A35" s="250"/>
      <c r="B35" s="338" t="s">
        <v>114</v>
      </c>
      <c r="C35" s="338" t="s">
        <v>623</v>
      </c>
      <c r="D35" s="338" t="s">
        <v>624</v>
      </c>
      <c r="E35" s="338" t="s">
        <v>625</v>
      </c>
      <c r="F35" s="338" t="s">
        <v>626</v>
      </c>
      <c r="G35" s="338" t="s">
        <v>575</v>
      </c>
      <c r="H35" s="338" t="s">
        <v>576</v>
      </c>
      <c r="I35" s="338" t="s">
        <v>103</v>
      </c>
      <c r="J35" s="338" t="s">
        <v>577</v>
      </c>
      <c r="L35" s="250"/>
      <c r="M35" s="338" t="s">
        <v>114</v>
      </c>
      <c r="N35" s="338" t="s">
        <v>623</v>
      </c>
      <c r="O35" s="338" t="s">
        <v>624</v>
      </c>
      <c r="P35" s="338" t="s">
        <v>625</v>
      </c>
      <c r="Q35" s="338" t="s">
        <v>626</v>
      </c>
      <c r="R35" s="338" t="s">
        <v>575</v>
      </c>
      <c r="S35" s="338" t="s">
        <v>576</v>
      </c>
      <c r="T35" s="338" t="s">
        <v>103</v>
      </c>
      <c r="U35" s="338" t="s">
        <v>577</v>
      </c>
      <c r="W35" s="250"/>
      <c r="X35" s="338" t="s">
        <v>114</v>
      </c>
      <c r="Y35" s="338" t="s">
        <v>623</v>
      </c>
      <c r="Z35" s="338" t="s">
        <v>624</v>
      </c>
      <c r="AA35" s="338" t="s">
        <v>625</v>
      </c>
      <c r="AB35" s="338" t="s">
        <v>627</v>
      </c>
      <c r="AC35" s="338" t="s">
        <v>575</v>
      </c>
      <c r="AD35" s="338" t="s">
        <v>576</v>
      </c>
      <c r="AE35" s="338" t="s">
        <v>103</v>
      </c>
      <c r="AF35" s="338" t="s">
        <v>577</v>
      </c>
      <c r="AH35" s="250"/>
      <c r="AI35" s="338" t="s">
        <v>114</v>
      </c>
      <c r="AJ35" s="338" t="s">
        <v>623</v>
      </c>
      <c r="AK35" s="338" t="s">
        <v>624</v>
      </c>
      <c r="AL35" s="338" t="s">
        <v>625</v>
      </c>
      <c r="AM35" s="338" t="s">
        <v>627</v>
      </c>
      <c r="AN35" s="338" t="s">
        <v>575</v>
      </c>
      <c r="AO35" s="338" t="s">
        <v>576</v>
      </c>
      <c r="AP35" s="338" t="s">
        <v>103</v>
      </c>
      <c r="AQ35" s="338" t="s">
        <v>577</v>
      </c>
      <c r="AS35" s="250"/>
      <c r="AT35" s="245"/>
      <c r="AU35" s="245"/>
      <c r="AV35" s="245"/>
      <c r="AW35" s="245"/>
      <c r="AX35" s="245"/>
      <c r="AY35" s="245"/>
      <c r="AZ35" s="245"/>
      <c r="BA35" s="245"/>
      <c r="BB35" s="245"/>
      <c r="BD35" s="250"/>
      <c r="BE35" s="245"/>
      <c r="BF35" s="245"/>
      <c r="BG35" s="245"/>
      <c r="BH35" s="245"/>
      <c r="BI35" s="245"/>
      <c r="BJ35" s="245"/>
      <c r="BK35" s="245"/>
      <c r="BL35" s="245"/>
      <c r="BM35" s="245"/>
      <c r="BO35" s="250"/>
      <c r="BP35" s="245"/>
      <c r="BQ35" s="245"/>
      <c r="BR35" s="245"/>
      <c r="BS35" s="245"/>
      <c r="BT35" s="245"/>
      <c r="BU35" s="245"/>
      <c r="BV35" s="245"/>
      <c r="BW35" s="245"/>
      <c r="BX35" s="245"/>
      <c r="BZ35" s="250"/>
      <c r="CA35" s="245"/>
      <c r="CB35" s="245"/>
      <c r="CC35" s="245"/>
      <c r="CD35" s="245"/>
      <c r="CE35" s="245"/>
      <c r="CF35" s="245"/>
      <c r="CG35" s="245"/>
      <c r="CH35" s="245"/>
      <c r="CI35" s="245"/>
      <c r="CK35" s="250"/>
      <c r="CL35" s="245"/>
      <c r="CM35" s="245"/>
      <c r="CN35" s="245"/>
      <c r="CO35" s="245"/>
      <c r="CP35" s="245"/>
      <c r="CQ35" s="245"/>
      <c r="CR35" s="245"/>
      <c r="CS35" s="245"/>
      <c r="CT35" s="245"/>
      <c r="CV35" s="248"/>
      <c r="CW35" s="338"/>
      <c r="CX35" s="338"/>
      <c r="CY35" s="338"/>
      <c r="CZ35" s="338"/>
      <c r="DA35" s="338"/>
      <c r="DB35" s="245"/>
      <c r="DC35" s="338"/>
      <c r="DD35" s="338"/>
      <c r="DE35" s="338"/>
      <c r="DG35" s="248"/>
      <c r="DH35" s="338"/>
      <c r="DI35" s="338"/>
      <c r="DJ35" s="338"/>
      <c r="DK35" s="338"/>
      <c r="DL35" s="338"/>
      <c r="DM35" s="245"/>
      <c r="DN35" s="338"/>
      <c r="DO35" s="338"/>
      <c r="DP35" s="338"/>
      <c r="DR35" s="248"/>
      <c r="DS35" s="338"/>
      <c r="DT35" s="338"/>
      <c r="DU35" s="338"/>
      <c r="DV35" s="338"/>
      <c r="DW35" s="338"/>
      <c r="DX35" s="245"/>
      <c r="DY35" s="338"/>
      <c r="DZ35" s="338"/>
      <c r="EA35" s="338"/>
    </row>
    <row r="36" spans="1:131" ht="15.75" x14ac:dyDescent="0.25">
      <c r="A36" s="250" t="s">
        <v>628</v>
      </c>
      <c r="B36" s="338">
        <f ca="1">MatWidth</f>
        <v>16</v>
      </c>
      <c r="C36" s="338">
        <f ca="1">MatThickness</f>
        <v>0.3</v>
      </c>
      <c r="D36" s="338">
        <f ca="1">MatLnFLT</f>
        <v>48</v>
      </c>
      <c r="E36" s="338">
        <f ca="1">MatDensity</f>
        <v>0.28299999999999997</v>
      </c>
      <c r="F36" s="338">
        <f ca="1">MatLoop</f>
        <v>339.29200658769764</v>
      </c>
      <c r="G36" s="259">
        <f ca="1">B36*C36*E36*F36</f>
        <v>460.89426174872841</v>
      </c>
      <c r="H36" s="260">
        <f ca="1">((B36*C36*D36*E36)/32.3)*(((B7*0.5)^2)/144)*12</f>
        <v>0.212907120743034</v>
      </c>
      <c r="I36" s="257">
        <f ca="1">Ratio</f>
        <v>11.111000000000001</v>
      </c>
      <c r="J36" s="260">
        <f ca="1">H36/(I36^2)</f>
        <v>1.7245821694895067E-3</v>
      </c>
      <c r="L36" s="250" t="s">
        <v>628</v>
      </c>
      <c r="M36" s="338">
        <f ca="1">MatWidth</f>
        <v>16</v>
      </c>
      <c r="N36" s="338">
        <f ca="1">MatThickness</f>
        <v>0.3</v>
      </c>
      <c r="O36" s="338">
        <f ca="1">MatLnFLT</f>
        <v>48</v>
      </c>
      <c r="P36" s="338">
        <f ca="1">MatDensity</f>
        <v>0.28299999999999997</v>
      </c>
      <c r="Q36" s="338">
        <f ca="1">MatLoop</f>
        <v>339.29200658769764</v>
      </c>
      <c r="R36" s="259">
        <f ca="1">M36*N36*P36*Q36</f>
        <v>460.89426174872841</v>
      </c>
      <c r="S36" s="260">
        <f ca="1">((M36*N36*O36*P36)/32.3)*(((M7*0.5)^2)/144)*12</f>
        <v>0.212907120743034</v>
      </c>
      <c r="T36" s="257">
        <f ca="1">Ratio</f>
        <v>11.111000000000001</v>
      </c>
      <c r="U36" s="260">
        <f ca="1">S36/(T36^2)</f>
        <v>1.7245821694895067E-3</v>
      </c>
      <c r="W36" s="250" t="s">
        <v>628</v>
      </c>
      <c r="X36" s="338">
        <f ca="1">MatWidth</f>
        <v>16</v>
      </c>
      <c r="Y36" s="338">
        <f ca="1">MatThickness</f>
        <v>0.3</v>
      </c>
      <c r="Z36" s="338">
        <f ca="1">MatLnFLT</f>
        <v>48</v>
      </c>
      <c r="AA36" s="338">
        <f ca="1">MatDensity</f>
        <v>0.28299999999999997</v>
      </c>
      <c r="AB36" s="338">
        <f ca="1">MatLoop</f>
        <v>339.29200658769764</v>
      </c>
      <c r="AC36" s="259">
        <f ca="1">X36*Y36*AA36*AB36</f>
        <v>460.89426174872841</v>
      </c>
      <c r="AD36" s="260">
        <f ca="1">((X36*Y36*Z36*AA36)/32.3)*(((X7*0.5)^2)/144)*12</f>
        <v>0.28979024767801853</v>
      </c>
      <c r="AE36" s="257">
        <f ca="1">Ratio</f>
        <v>11.111000000000001</v>
      </c>
      <c r="AF36" s="260">
        <f ca="1">AD36/(AE36^2)</f>
        <v>2.3473479529162733E-3</v>
      </c>
      <c r="AH36" s="250" t="s">
        <v>628</v>
      </c>
      <c r="AI36" s="338">
        <f ca="1">MatWidth</f>
        <v>16</v>
      </c>
      <c r="AJ36" s="338">
        <f ca="1">MatThickness</f>
        <v>0.3</v>
      </c>
      <c r="AK36" s="338">
        <f ca="1">MatLnFLT</f>
        <v>48</v>
      </c>
      <c r="AL36" s="338">
        <f ca="1">MatDensity</f>
        <v>0.28299999999999997</v>
      </c>
      <c r="AM36" s="338">
        <f ca="1">MatLoop</f>
        <v>339.29200658769764</v>
      </c>
      <c r="AN36" s="259">
        <f ca="1">AI36*AJ36*AL36*AM36</f>
        <v>460.89426174872841</v>
      </c>
      <c r="AO36" s="260">
        <f ca="1">((AI36*AJ36*AK36*AL36)/32.3)*(((AI7*0.5)^2)/144)*12</f>
        <v>0.28979024767801853</v>
      </c>
      <c r="AP36" s="257">
        <f ca="1">Ratio</f>
        <v>11.111000000000001</v>
      </c>
      <c r="AQ36" s="260">
        <f ca="1">AO36/(AP36^2)</f>
        <v>2.3473479529162733E-3</v>
      </c>
      <c r="AS36" s="250"/>
      <c r="AT36" s="245"/>
      <c r="AU36" s="245"/>
      <c r="AV36" s="245"/>
      <c r="AW36" s="245"/>
      <c r="AX36" s="245"/>
      <c r="AY36" s="245"/>
      <c r="AZ36" s="245"/>
      <c r="BA36" s="245"/>
      <c r="BB36" s="245"/>
      <c r="BD36" s="250"/>
      <c r="BE36" s="245"/>
      <c r="BF36" s="245"/>
      <c r="BG36" s="245"/>
      <c r="BH36" s="245"/>
      <c r="BI36" s="245"/>
      <c r="BJ36" s="245"/>
      <c r="BK36" s="245"/>
      <c r="BL36" s="245"/>
      <c r="BM36" s="245"/>
      <c r="BO36" s="250"/>
      <c r="BP36" s="245"/>
      <c r="BQ36" s="245"/>
      <c r="BR36" s="245"/>
      <c r="BS36" s="245"/>
      <c r="BT36" s="245"/>
      <c r="BU36" s="245"/>
      <c r="BV36" s="245"/>
      <c r="BW36" s="245"/>
      <c r="BX36" s="245"/>
      <c r="BZ36" s="250"/>
      <c r="CA36" s="245"/>
      <c r="CB36" s="245"/>
      <c r="CC36" s="245"/>
      <c r="CD36" s="245"/>
      <c r="CE36" s="245"/>
      <c r="CF36" s="245"/>
      <c r="CG36" s="245"/>
      <c r="CH36" s="245"/>
      <c r="CI36" s="245"/>
      <c r="CK36" s="250"/>
      <c r="CL36" s="245"/>
      <c r="CM36" s="245"/>
      <c r="CN36" s="245"/>
      <c r="CO36" s="245"/>
      <c r="CP36" s="245"/>
      <c r="CQ36" s="245"/>
      <c r="CR36" s="245"/>
      <c r="CS36" s="245"/>
      <c r="CT36" s="245"/>
      <c r="CV36" s="248"/>
      <c r="CW36" s="338"/>
      <c r="CX36" s="338"/>
      <c r="CY36" s="338"/>
      <c r="CZ36" s="338"/>
      <c r="DA36" s="338"/>
      <c r="DB36" s="245"/>
      <c r="DC36" s="338"/>
      <c r="DD36" s="338"/>
      <c r="DE36" s="338"/>
      <c r="DG36" s="248"/>
      <c r="DH36" s="338"/>
      <c r="DI36" s="338"/>
      <c r="DJ36" s="338"/>
      <c r="DK36" s="338"/>
      <c r="DL36" s="338"/>
      <c r="DM36" s="245"/>
      <c r="DN36" s="338"/>
      <c r="DO36" s="338"/>
      <c r="DP36" s="338"/>
      <c r="DR36" s="248"/>
      <c r="DS36" s="338"/>
      <c r="DT36" s="338"/>
      <c r="DU36" s="338"/>
      <c r="DV36" s="338"/>
      <c r="DW36" s="338"/>
      <c r="DX36" s="245"/>
      <c r="DY36" s="338"/>
      <c r="DZ36" s="338"/>
      <c r="EA36" s="338"/>
    </row>
    <row r="37" spans="1:131" ht="15.75" x14ac:dyDescent="0.25">
      <c r="A37" s="250"/>
      <c r="B37" s="261"/>
      <c r="C37" s="245"/>
      <c r="D37" s="245"/>
      <c r="E37" s="245"/>
      <c r="F37" s="245"/>
      <c r="G37" s="245"/>
      <c r="H37" s="245"/>
      <c r="I37" s="245"/>
      <c r="J37" s="245"/>
      <c r="L37" s="250"/>
      <c r="M37" s="261"/>
      <c r="N37" s="245"/>
      <c r="O37" s="245"/>
      <c r="P37" s="245"/>
      <c r="Q37" s="245"/>
      <c r="R37" s="245"/>
      <c r="S37" s="245"/>
      <c r="T37" s="245"/>
      <c r="U37" s="245"/>
      <c r="W37" s="250"/>
      <c r="X37" s="261"/>
      <c r="Y37" s="245"/>
      <c r="Z37" s="245"/>
      <c r="AA37" s="245"/>
      <c r="AB37" s="245"/>
      <c r="AC37" s="245"/>
      <c r="AD37" s="245"/>
      <c r="AE37" s="245"/>
      <c r="AF37" s="245"/>
      <c r="AH37" s="250"/>
      <c r="AI37" s="261"/>
      <c r="AJ37" s="245"/>
      <c r="AK37" s="245"/>
      <c r="AL37" s="245"/>
      <c r="AM37" s="245"/>
      <c r="AN37" s="245"/>
      <c r="AO37" s="245"/>
      <c r="AP37" s="245"/>
      <c r="AQ37" s="245"/>
      <c r="AS37" s="250"/>
      <c r="AT37" s="338" t="s">
        <v>114</v>
      </c>
      <c r="AU37" s="338" t="s">
        <v>623</v>
      </c>
      <c r="AV37" s="338" t="s">
        <v>624</v>
      </c>
      <c r="AW37" s="338" t="s">
        <v>625</v>
      </c>
      <c r="AX37" s="338" t="s">
        <v>626</v>
      </c>
      <c r="AY37" s="338" t="s">
        <v>575</v>
      </c>
      <c r="AZ37" s="338" t="s">
        <v>576</v>
      </c>
      <c r="BA37" s="338" t="s">
        <v>103</v>
      </c>
      <c r="BB37" s="338" t="s">
        <v>577</v>
      </c>
      <c r="BD37" s="250"/>
      <c r="BE37" s="338" t="s">
        <v>114</v>
      </c>
      <c r="BF37" s="338" t="s">
        <v>623</v>
      </c>
      <c r="BG37" s="338" t="s">
        <v>624</v>
      </c>
      <c r="BH37" s="338" t="s">
        <v>625</v>
      </c>
      <c r="BI37" s="338" t="s">
        <v>626</v>
      </c>
      <c r="BJ37" s="338" t="s">
        <v>575</v>
      </c>
      <c r="BK37" s="338" t="s">
        <v>576</v>
      </c>
      <c r="BL37" s="338" t="s">
        <v>103</v>
      </c>
      <c r="BM37" s="338" t="s">
        <v>577</v>
      </c>
      <c r="BO37" s="250"/>
      <c r="BP37" s="338" t="s">
        <v>114</v>
      </c>
      <c r="BQ37" s="338" t="s">
        <v>623</v>
      </c>
      <c r="BR37" s="338" t="s">
        <v>624</v>
      </c>
      <c r="BS37" s="338" t="s">
        <v>625</v>
      </c>
      <c r="BT37" s="338" t="s">
        <v>626</v>
      </c>
      <c r="BU37" s="338" t="s">
        <v>575</v>
      </c>
      <c r="BV37" s="338" t="s">
        <v>576</v>
      </c>
      <c r="BW37" s="338" t="s">
        <v>103</v>
      </c>
      <c r="BX37" s="338" t="s">
        <v>577</v>
      </c>
      <c r="BZ37" s="250"/>
      <c r="CA37" s="338" t="s">
        <v>114</v>
      </c>
      <c r="CB37" s="338" t="s">
        <v>623</v>
      </c>
      <c r="CC37" s="338" t="s">
        <v>624</v>
      </c>
      <c r="CD37" s="338" t="s">
        <v>625</v>
      </c>
      <c r="CE37" s="338" t="s">
        <v>626</v>
      </c>
      <c r="CF37" s="338" t="s">
        <v>575</v>
      </c>
      <c r="CG37" s="338" t="s">
        <v>576</v>
      </c>
      <c r="CH37" s="338" t="s">
        <v>103</v>
      </c>
      <c r="CI37" s="338" t="s">
        <v>577</v>
      </c>
      <c r="CK37" s="250"/>
      <c r="CL37" s="338" t="s">
        <v>114</v>
      </c>
      <c r="CM37" s="338" t="s">
        <v>623</v>
      </c>
      <c r="CN37" s="338" t="s">
        <v>624</v>
      </c>
      <c r="CO37" s="338" t="s">
        <v>625</v>
      </c>
      <c r="CP37" s="338" t="s">
        <v>626</v>
      </c>
      <c r="CQ37" s="338" t="s">
        <v>575</v>
      </c>
      <c r="CR37" s="338" t="s">
        <v>576</v>
      </c>
      <c r="CS37" s="338" t="s">
        <v>103</v>
      </c>
      <c r="CT37" s="338" t="s">
        <v>577</v>
      </c>
      <c r="CV37" s="250" t="s">
        <v>622</v>
      </c>
      <c r="CW37" s="1037" t="s">
        <v>803</v>
      </c>
      <c r="CX37" s="1037"/>
      <c r="CY37" s="1038"/>
      <c r="CZ37" s="257">
        <v>0.97</v>
      </c>
      <c r="DA37" s="257">
        <v>1</v>
      </c>
      <c r="DB37" s="245"/>
      <c r="DC37" s="257">
        <v>3.2000000000000001E-2</v>
      </c>
      <c r="DD37" s="257">
        <v>5</v>
      </c>
      <c r="DE37" s="257">
        <f>DC37*DA37</f>
        <v>3.2000000000000001E-2</v>
      </c>
      <c r="DG37" s="250" t="s">
        <v>622</v>
      </c>
      <c r="DH37" s="1037" t="s">
        <v>802</v>
      </c>
      <c r="DI37" s="1037"/>
      <c r="DJ37" s="1038"/>
      <c r="DK37" s="257">
        <v>0.97</v>
      </c>
      <c r="DL37" s="257">
        <v>1</v>
      </c>
      <c r="DM37" s="245"/>
      <c r="DN37" s="257">
        <v>8.8999999999999996E-2</v>
      </c>
      <c r="DO37" s="257">
        <v>5</v>
      </c>
      <c r="DP37" s="257">
        <f>DN37*DL37</f>
        <v>8.8999999999999996E-2</v>
      </c>
      <c r="DR37" s="250" t="s">
        <v>622</v>
      </c>
      <c r="DS37" s="1037" t="s">
        <v>802</v>
      </c>
      <c r="DT37" s="1037"/>
      <c r="DU37" s="1038"/>
      <c r="DV37" s="257">
        <v>0.97</v>
      </c>
      <c r="DW37" s="257">
        <v>1</v>
      </c>
      <c r="DX37" s="245"/>
      <c r="DY37" s="257">
        <v>8.8999999999999996E-2</v>
      </c>
      <c r="DZ37" s="257">
        <v>5</v>
      </c>
      <c r="EA37" s="257">
        <f>DY37*DW37</f>
        <v>8.8999999999999996E-2</v>
      </c>
    </row>
    <row r="38" spans="1:131" ht="15.75" x14ac:dyDescent="0.25">
      <c r="A38" s="250"/>
      <c r="B38" s="261"/>
      <c r="C38" s="245"/>
      <c r="D38" s="245"/>
      <c r="E38" s="245"/>
      <c r="F38" s="245"/>
      <c r="G38" s="245"/>
      <c r="H38" s="245"/>
      <c r="I38" s="245"/>
      <c r="J38" s="245"/>
      <c r="L38" s="250"/>
      <c r="M38" s="261"/>
      <c r="N38" s="245"/>
      <c r="O38" s="245"/>
      <c r="P38" s="245"/>
      <c r="Q38" s="245"/>
      <c r="R38" s="245"/>
      <c r="S38" s="245"/>
      <c r="T38" s="245"/>
      <c r="U38" s="245"/>
      <c r="W38" s="250"/>
      <c r="X38" s="261"/>
      <c r="Y38" s="245"/>
      <c r="Z38" s="245"/>
      <c r="AA38" s="245"/>
      <c r="AB38" s="245"/>
      <c r="AC38" s="245"/>
      <c r="AD38" s="245"/>
      <c r="AE38" s="245"/>
      <c r="AF38" s="245"/>
      <c r="AH38" s="250"/>
      <c r="AI38" s="261"/>
      <c r="AJ38" s="245"/>
      <c r="AK38" s="245"/>
      <c r="AL38" s="245"/>
      <c r="AM38" s="245"/>
      <c r="AN38" s="245"/>
      <c r="AO38" s="245"/>
      <c r="AP38" s="245"/>
      <c r="AQ38" s="245"/>
      <c r="AS38" s="250" t="s">
        <v>628</v>
      </c>
      <c r="AT38" s="338">
        <f ca="1">MatWidth</f>
        <v>16</v>
      </c>
      <c r="AU38" s="338">
        <f ca="1">MatThickness</f>
        <v>0.3</v>
      </c>
      <c r="AV38" s="338">
        <f ca="1">MatLnFLT</f>
        <v>48</v>
      </c>
      <c r="AW38" s="338">
        <f ca="1">MatDensity</f>
        <v>0.28299999999999997</v>
      </c>
      <c r="AX38" s="338">
        <f ca="1">MatLoop</f>
        <v>339.29200658769764</v>
      </c>
      <c r="AY38" s="259">
        <f ca="1">AT38*AU38*AW38*AX38</f>
        <v>460.89426174872841</v>
      </c>
      <c r="AZ38" s="260">
        <f ca="1">((AT38*AU38*AV38*AW38)/32.3)*(((AT7*0.5)^2)/144)*12</f>
        <v>0.37850154798761604</v>
      </c>
      <c r="BA38" s="257">
        <f ca="1">Ratio</f>
        <v>11.111000000000001</v>
      </c>
      <c r="BB38" s="260">
        <f ca="1">AZ38/(BA38^2)</f>
        <v>3.0659238568702344E-3</v>
      </c>
      <c r="BD38" s="250" t="s">
        <v>628</v>
      </c>
      <c r="BE38" s="338">
        <f ca="1">MatWidth</f>
        <v>16</v>
      </c>
      <c r="BF38" s="338">
        <f ca="1">MatThickness</f>
        <v>0.3</v>
      </c>
      <c r="BG38" s="338">
        <f ca="1">MatLnFLT</f>
        <v>48</v>
      </c>
      <c r="BH38" s="338">
        <f ca="1">MatDensity</f>
        <v>0.28299999999999997</v>
      </c>
      <c r="BI38" s="338">
        <f ca="1">MatLoop</f>
        <v>339.29200658769764</v>
      </c>
      <c r="BJ38" s="259">
        <f ca="1">BE38*BF38*BH38*BI38</f>
        <v>460.89426174872841</v>
      </c>
      <c r="BK38" s="260">
        <f ca="1">((BE38*BF38*BG38*BH38)/32.3)*(((BE7*0.5)^2)/144)*12</f>
        <v>0.37850154798761604</v>
      </c>
      <c r="BL38" s="257">
        <f ca="1">Ratio</f>
        <v>11.111000000000001</v>
      </c>
      <c r="BM38" s="260">
        <f ca="1">BK38/(BL38^2)</f>
        <v>3.0659238568702344E-3</v>
      </c>
      <c r="BO38" s="250" t="s">
        <v>628</v>
      </c>
      <c r="BP38" s="338">
        <f ca="1">MatWidth</f>
        <v>16</v>
      </c>
      <c r="BQ38" s="338">
        <f ca="1">MatThickness</f>
        <v>0.3</v>
      </c>
      <c r="BR38" s="338">
        <f ca="1">MatLnFLT</f>
        <v>48</v>
      </c>
      <c r="BS38" s="338">
        <f ca="1">MatDensity</f>
        <v>0.28299999999999997</v>
      </c>
      <c r="BT38" s="338">
        <f ca="1">MatLoop</f>
        <v>339.29200658769764</v>
      </c>
      <c r="BU38" s="259">
        <f ca="1">BP38*BQ38*BS38*BT38</f>
        <v>460.89426174872841</v>
      </c>
      <c r="BV38" s="260">
        <f ca="1">((BP38*BQ38*BR38*BS38)/32.3)*(((BP7*0.5)^2)/144)*12</f>
        <v>0.67289164086687292</v>
      </c>
      <c r="BW38" s="257">
        <f ca="1">Ratio</f>
        <v>11.111000000000001</v>
      </c>
      <c r="BX38" s="260">
        <f ca="1">BV38/(BW38^2)</f>
        <v>5.4505313011026383E-3</v>
      </c>
      <c r="BZ38" s="250" t="s">
        <v>628</v>
      </c>
      <c r="CA38" s="338">
        <f ca="1">MatWidth</f>
        <v>16</v>
      </c>
      <c r="CB38" s="338">
        <f ca="1">MatThickness</f>
        <v>0.3</v>
      </c>
      <c r="CC38" s="338">
        <f ca="1">MatLnFLT</f>
        <v>48</v>
      </c>
      <c r="CD38" s="338">
        <f ca="1">MatDensity</f>
        <v>0.28299999999999997</v>
      </c>
      <c r="CE38" s="338">
        <f ca="1">MatLoop</f>
        <v>339.29200658769764</v>
      </c>
      <c r="CF38" s="259">
        <f ca="1">CA38*CB38*CD38*CE38</f>
        <v>460.89426174872841</v>
      </c>
      <c r="CG38" s="260">
        <f ca="1">((CA38*CB38*CC38*CD38)/32.3)*(((CA7*0.5)^2)/144)*12</f>
        <v>0.67289164086687292</v>
      </c>
      <c r="CH38" s="257">
        <f ca="1">Ratio</f>
        <v>11.111000000000001</v>
      </c>
      <c r="CI38" s="260">
        <f ca="1">CG38/(CH38^2)</f>
        <v>5.4505313011026383E-3</v>
      </c>
      <c r="CK38" s="250" t="s">
        <v>628</v>
      </c>
      <c r="CL38" s="338">
        <f ca="1">MatWidth</f>
        <v>16</v>
      </c>
      <c r="CM38" s="338">
        <f ca="1">MatThickness</f>
        <v>0.3</v>
      </c>
      <c r="CN38" s="338">
        <f ca="1">MatLnFLT</f>
        <v>48</v>
      </c>
      <c r="CO38" s="338">
        <f ca="1">MatDensity</f>
        <v>0.28299999999999997</v>
      </c>
      <c r="CP38" s="338">
        <f ca="1">MatLoop</f>
        <v>339.29200658769764</v>
      </c>
      <c r="CQ38" s="259">
        <f ca="1">CL38*CM38*CO38*CP38</f>
        <v>460.89426174872841</v>
      </c>
      <c r="CR38" s="260">
        <f ca="1">((CL38*CM38*CN38*CO38)/32.3)*(((CL7*0.5)^2)/144)*12</f>
        <v>1.051393188854489</v>
      </c>
      <c r="CS38" s="257">
        <f ca="1">Ratio</f>
        <v>11.111000000000001</v>
      </c>
      <c r="CT38" s="260">
        <f ca="1">CR38/(CS38^2)</f>
        <v>8.5164551579728735E-3</v>
      </c>
      <c r="CV38" s="250"/>
      <c r="CW38" s="245"/>
      <c r="CX38" s="245"/>
      <c r="CY38" s="257"/>
      <c r="CZ38" s="245"/>
      <c r="DA38" s="245"/>
      <c r="DB38" s="245"/>
      <c r="DC38" s="245"/>
      <c r="DD38" s="245"/>
      <c r="DE38" s="245"/>
      <c r="DG38" s="250"/>
      <c r="DH38" s="245"/>
      <c r="DI38" s="245"/>
      <c r="DJ38" s="257"/>
      <c r="DK38" s="245"/>
      <c r="DL38" s="245"/>
      <c r="DM38" s="245"/>
      <c r="DN38" s="245"/>
      <c r="DO38" s="245"/>
      <c r="DP38" s="245"/>
      <c r="DR38" s="250"/>
      <c r="DS38" s="245"/>
      <c r="DT38" s="245"/>
      <c r="DU38" s="257"/>
      <c r="DV38" s="245"/>
      <c r="DW38" s="245"/>
      <c r="DX38" s="245"/>
      <c r="DY38" s="245"/>
      <c r="DZ38" s="245"/>
      <c r="EA38" s="245"/>
    </row>
    <row r="39" spans="1:131" ht="15.75" x14ac:dyDescent="0.25">
      <c r="A39" s="250"/>
      <c r="B39" s="245"/>
      <c r="C39" s="245"/>
      <c r="D39" s="245"/>
      <c r="E39" s="245"/>
      <c r="F39" s="245"/>
      <c r="G39" s="245"/>
      <c r="H39" s="245"/>
      <c r="I39" s="245"/>
      <c r="J39" s="245"/>
      <c r="L39" s="250"/>
      <c r="M39" s="245"/>
      <c r="N39" s="245"/>
      <c r="O39" s="245"/>
      <c r="P39" s="245"/>
      <c r="Q39" s="245"/>
      <c r="R39" s="245"/>
      <c r="S39" s="245"/>
      <c r="T39" s="245"/>
      <c r="U39" s="245"/>
      <c r="W39" s="250"/>
      <c r="X39" s="245"/>
      <c r="Y39" s="245"/>
      <c r="Z39" s="245"/>
      <c r="AA39" s="245"/>
      <c r="AB39" s="245"/>
      <c r="AC39" s="245"/>
      <c r="AD39" s="245"/>
      <c r="AE39" s="245"/>
      <c r="AF39" s="245"/>
      <c r="AH39" s="250"/>
      <c r="AI39" s="245"/>
      <c r="AJ39" s="245"/>
      <c r="AK39" s="245"/>
      <c r="AL39" s="245"/>
      <c r="AM39" s="245"/>
      <c r="AN39" s="245"/>
      <c r="AO39" s="245"/>
      <c r="AP39" s="245"/>
      <c r="AQ39" s="245"/>
      <c r="AS39" s="250"/>
      <c r="AT39" s="261"/>
      <c r="AU39" s="245"/>
      <c r="AV39" s="245"/>
      <c r="AW39" s="245"/>
      <c r="AX39" s="245"/>
      <c r="AY39" s="245"/>
      <c r="AZ39" s="245"/>
      <c r="BA39" s="245"/>
      <c r="BB39" s="245"/>
      <c r="BD39" s="250"/>
      <c r="BE39" s="261"/>
      <c r="BF39" s="245"/>
      <c r="BG39" s="245"/>
      <c r="BH39" s="245"/>
      <c r="BI39" s="245"/>
      <c r="BJ39" s="245"/>
      <c r="BK39" s="245"/>
      <c r="BL39" s="245"/>
      <c r="BM39" s="245"/>
      <c r="BO39" s="250"/>
      <c r="BP39" s="261"/>
      <c r="BQ39" s="245"/>
      <c r="BR39" s="245"/>
      <c r="BS39" s="245"/>
      <c r="BT39" s="245"/>
      <c r="BU39" s="245"/>
      <c r="BV39" s="245"/>
      <c r="BW39" s="245"/>
      <c r="BX39" s="245"/>
      <c r="BZ39" s="250"/>
      <c r="CA39" s="261"/>
      <c r="CB39" s="245"/>
      <c r="CC39" s="245"/>
      <c r="CD39" s="245"/>
      <c r="CE39" s="245"/>
      <c r="CF39" s="245"/>
      <c r="CG39" s="245"/>
      <c r="CH39" s="245"/>
      <c r="CI39" s="245"/>
      <c r="CK39" s="250"/>
      <c r="CL39" s="261"/>
      <c r="CM39" s="245"/>
      <c r="CN39" s="245"/>
      <c r="CO39" s="245"/>
      <c r="CP39" s="245"/>
      <c r="CQ39" s="245"/>
      <c r="CR39" s="245"/>
      <c r="CS39" s="245"/>
      <c r="CT39" s="245"/>
      <c r="CV39" s="250"/>
      <c r="CW39" s="245"/>
      <c r="CX39" s="245"/>
      <c r="CY39" s="245"/>
      <c r="CZ39" s="245"/>
      <c r="DA39" s="245"/>
      <c r="DB39" s="245"/>
      <c r="DC39" s="245"/>
      <c r="DD39" s="245"/>
      <c r="DE39" s="245"/>
      <c r="DG39" s="250"/>
      <c r="DH39" s="245"/>
      <c r="DI39" s="245"/>
      <c r="DJ39" s="245"/>
      <c r="DK39" s="245"/>
      <c r="DL39" s="245"/>
      <c r="DM39" s="245"/>
      <c r="DN39" s="245"/>
      <c r="DO39" s="245"/>
      <c r="DP39" s="245"/>
      <c r="DR39" s="250"/>
      <c r="DS39" s="245"/>
      <c r="DT39" s="245"/>
      <c r="DU39" s="245"/>
      <c r="DV39" s="245"/>
      <c r="DW39" s="245"/>
      <c r="DX39" s="245"/>
      <c r="DY39" s="245"/>
      <c r="DZ39" s="245"/>
      <c r="EA39" s="245"/>
    </row>
    <row r="40" spans="1:131" ht="15.75" x14ac:dyDescent="0.25">
      <c r="A40" s="250" t="s">
        <v>104</v>
      </c>
      <c r="B40" s="245"/>
      <c r="C40" s="245"/>
      <c r="D40" s="245"/>
      <c r="E40" s="245"/>
      <c r="F40" s="245"/>
      <c r="G40" s="245"/>
      <c r="H40" s="245"/>
      <c r="I40" s="245"/>
      <c r="J40" s="245"/>
      <c r="L40" s="250" t="s">
        <v>104</v>
      </c>
      <c r="M40" s="245"/>
      <c r="N40" s="245"/>
      <c r="O40" s="245"/>
      <c r="P40" s="245"/>
      <c r="Q40" s="245"/>
      <c r="R40" s="245"/>
      <c r="S40" s="245"/>
      <c r="T40" s="245"/>
      <c r="U40" s="245"/>
      <c r="W40" s="250" t="s">
        <v>104</v>
      </c>
      <c r="X40" s="245"/>
      <c r="Y40" s="245"/>
      <c r="Z40" s="245"/>
      <c r="AA40" s="245"/>
      <c r="AB40" s="245"/>
      <c r="AC40" s="245"/>
      <c r="AD40" s="245"/>
      <c r="AE40" s="245"/>
      <c r="AF40" s="245"/>
      <c r="AH40" s="250" t="s">
        <v>104</v>
      </c>
      <c r="AI40" s="245"/>
      <c r="AJ40" s="245"/>
      <c r="AK40" s="245"/>
      <c r="AL40" s="245"/>
      <c r="AM40" s="245"/>
      <c r="AN40" s="245"/>
      <c r="AO40" s="245"/>
      <c r="AP40" s="245"/>
      <c r="AQ40" s="245"/>
      <c r="AS40" s="250"/>
      <c r="AT40" s="261"/>
      <c r="AU40" s="245"/>
      <c r="AV40" s="245"/>
      <c r="AW40" s="245"/>
      <c r="AX40" s="245"/>
      <c r="AY40" s="245"/>
      <c r="AZ40" s="245"/>
      <c r="BA40" s="245"/>
      <c r="BB40" s="245"/>
      <c r="BD40" s="250"/>
      <c r="BE40" s="261"/>
      <c r="BF40" s="245"/>
      <c r="BG40" s="245"/>
      <c r="BH40" s="245"/>
      <c r="BI40" s="245"/>
      <c r="BJ40" s="245"/>
      <c r="BK40" s="245"/>
      <c r="BL40" s="245"/>
      <c r="BM40" s="245"/>
      <c r="BO40" s="250"/>
      <c r="BP40" s="261"/>
      <c r="BQ40" s="245"/>
      <c r="BR40" s="245"/>
      <c r="BS40" s="245"/>
      <c r="BT40" s="245"/>
      <c r="BU40" s="245"/>
      <c r="BV40" s="245"/>
      <c r="BW40" s="245"/>
      <c r="BX40" s="245"/>
      <c r="BZ40" s="250"/>
      <c r="CA40" s="261"/>
      <c r="CB40" s="245"/>
      <c r="CC40" s="245"/>
      <c r="CD40" s="245"/>
      <c r="CE40" s="245"/>
      <c r="CF40" s="245"/>
      <c r="CG40" s="245"/>
      <c r="CH40" s="245"/>
      <c r="CI40" s="245"/>
      <c r="CK40" s="250"/>
      <c r="CL40" s="261"/>
      <c r="CM40" s="245"/>
      <c r="CN40" s="245"/>
      <c r="CO40" s="245"/>
      <c r="CP40" s="245"/>
      <c r="CQ40" s="245"/>
      <c r="CR40" s="245"/>
      <c r="CS40" s="245"/>
      <c r="CT40" s="245"/>
      <c r="CV40" s="250"/>
      <c r="CW40" s="338" t="s">
        <v>114</v>
      </c>
      <c r="CX40" s="338" t="s">
        <v>623</v>
      </c>
      <c r="CY40" s="338" t="s">
        <v>624</v>
      </c>
      <c r="CZ40" s="338" t="s">
        <v>625</v>
      </c>
      <c r="DA40" s="338" t="s">
        <v>626</v>
      </c>
      <c r="DB40" s="337" t="s">
        <v>575</v>
      </c>
      <c r="DC40" s="338" t="s">
        <v>576</v>
      </c>
      <c r="DD40" s="338" t="s">
        <v>103</v>
      </c>
      <c r="DE40" s="338" t="s">
        <v>577</v>
      </c>
      <c r="DG40" s="250"/>
      <c r="DH40" s="338" t="s">
        <v>114</v>
      </c>
      <c r="DI40" s="338" t="s">
        <v>623</v>
      </c>
      <c r="DJ40" s="338" t="s">
        <v>624</v>
      </c>
      <c r="DK40" s="338" t="s">
        <v>625</v>
      </c>
      <c r="DL40" s="338" t="s">
        <v>626</v>
      </c>
      <c r="DM40" s="337" t="s">
        <v>575</v>
      </c>
      <c r="DN40" s="338" t="s">
        <v>576</v>
      </c>
      <c r="DO40" s="338" t="s">
        <v>103</v>
      </c>
      <c r="DP40" s="338" t="s">
        <v>577</v>
      </c>
      <c r="DR40" s="250"/>
      <c r="DS40" s="338" t="s">
        <v>114</v>
      </c>
      <c r="DT40" s="338" t="s">
        <v>623</v>
      </c>
      <c r="DU40" s="338" t="s">
        <v>624</v>
      </c>
      <c r="DV40" s="338" t="s">
        <v>625</v>
      </c>
      <c r="DW40" s="338" t="s">
        <v>626</v>
      </c>
      <c r="DX40" s="337" t="s">
        <v>575</v>
      </c>
      <c r="DY40" s="338" t="s">
        <v>576</v>
      </c>
      <c r="DZ40" s="338" t="s">
        <v>103</v>
      </c>
      <c r="EA40" s="338" t="s">
        <v>577</v>
      </c>
    </row>
    <row r="41" spans="1:131" ht="15.75" x14ac:dyDescent="0.25">
      <c r="A41" s="250" t="s">
        <v>577</v>
      </c>
      <c r="B41" s="262">
        <f ca="1">SUM(J7:J36)</f>
        <v>5.6576787636186347E-3</v>
      </c>
      <c r="C41" s="245"/>
      <c r="D41" s="245"/>
      <c r="E41" s="245"/>
      <c r="F41" s="245"/>
      <c r="G41" s="245"/>
      <c r="H41" s="245"/>
      <c r="I41" s="245"/>
      <c r="J41" s="245"/>
      <c r="L41" s="250" t="s">
        <v>577</v>
      </c>
      <c r="M41" s="262">
        <f ca="1">SUM(U7:U36)</f>
        <v>4.7161341585565449E-3</v>
      </c>
      <c r="N41" s="245"/>
      <c r="O41" s="245"/>
      <c r="P41" s="245"/>
      <c r="Q41" s="245"/>
      <c r="R41" s="245"/>
      <c r="S41" s="245"/>
      <c r="T41" s="245"/>
      <c r="U41" s="245"/>
      <c r="W41" s="250" t="s">
        <v>577</v>
      </c>
      <c r="X41" s="262">
        <f ca="1">SUM(AF7:AF36)</f>
        <v>8.02360239181878E-3</v>
      </c>
      <c r="Y41" s="245"/>
      <c r="Z41" s="245"/>
      <c r="AA41" s="245"/>
      <c r="AB41" s="245"/>
      <c r="AC41" s="245"/>
      <c r="AD41" s="245"/>
      <c r="AE41" s="245"/>
      <c r="AF41" s="245"/>
      <c r="AH41" s="250" t="s">
        <v>577</v>
      </c>
      <c r="AI41" s="262">
        <f ca="1">SUM(AQ7:AQ36)</f>
        <v>9.0439775165251021E-3</v>
      </c>
      <c r="AJ41" s="245"/>
      <c r="AK41" s="245"/>
      <c r="AL41" s="245"/>
      <c r="AM41" s="245"/>
      <c r="AN41" s="245"/>
      <c r="AO41" s="245"/>
      <c r="AP41" s="245"/>
      <c r="AQ41" s="245"/>
      <c r="AS41" s="250"/>
      <c r="AT41" s="245"/>
      <c r="AU41" s="245"/>
      <c r="AV41" s="245"/>
      <c r="AW41" s="245"/>
      <c r="AX41" s="245"/>
      <c r="AY41" s="245"/>
      <c r="AZ41" s="245"/>
      <c r="BA41" s="245"/>
      <c r="BB41" s="245"/>
      <c r="BD41" s="250"/>
      <c r="BE41" s="245"/>
      <c r="BF41" s="245"/>
      <c r="BG41" s="245"/>
      <c r="BH41" s="245"/>
      <c r="BI41" s="245"/>
      <c r="BJ41" s="245"/>
      <c r="BK41" s="245"/>
      <c r="BL41" s="245"/>
      <c r="BM41" s="245"/>
      <c r="BO41" s="250"/>
      <c r="BP41" s="245"/>
      <c r="BQ41" s="245"/>
      <c r="BR41" s="245"/>
      <c r="BS41" s="245"/>
      <c r="BT41" s="245"/>
      <c r="BU41" s="245"/>
      <c r="BV41" s="245"/>
      <c r="BW41" s="245"/>
      <c r="BX41" s="245"/>
      <c r="BZ41" s="250"/>
      <c r="CA41" s="245"/>
      <c r="CB41" s="245"/>
      <c r="CC41" s="245"/>
      <c r="CD41" s="245"/>
      <c r="CE41" s="245"/>
      <c r="CF41" s="245"/>
      <c r="CG41" s="245"/>
      <c r="CH41" s="245"/>
      <c r="CI41" s="245"/>
      <c r="CK41" s="250"/>
      <c r="CL41" s="245"/>
      <c r="CM41" s="245"/>
      <c r="CN41" s="245"/>
      <c r="CO41" s="245"/>
      <c r="CP41" s="245"/>
      <c r="CQ41" s="245"/>
      <c r="CR41" s="245"/>
      <c r="CS41" s="245"/>
      <c r="CT41" s="245"/>
      <c r="CV41" s="250" t="s">
        <v>628</v>
      </c>
      <c r="CW41" s="338">
        <f ca="1">MatWidth</f>
        <v>16</v>
      </c>
      <c r="CX41" s="338">
        <f ca="1">MatThickness</f>
        <v>0.3</v>
      </c>
      <c r="CY41" s="338">
        <f ca="1">MatLnFLT</f>
        <v>48</v>
      </c>
      <c r="CZ41" s="338">
        <f ca="1">MatDensity</f>
        <v>0.28299999999999997</v>
      </c>
      <c r="DA41" s="338">
        <f ca="1">MatLoop</f>
        <v>339.29200658769764</v>
      </c>
      <c r="DB41" s="350">
        <f ca="1">CW41*CX41*CZ41*DA41</f>
        <v>460.89426174872841</v>
      </c>
      <c r="DC41" s="260">
        <f ca="1">((CW41*CX41*CY41*CZ41)/32.3)*(((CW6*0.5)^2)/144)*12</f>
        <v>1.5140061919504642</v>
      </c>
      <c r="DD41" s="257">
        <f ca="1">Ratio</f>
        <v>11.111000000000001</v>
      </c>
      <c r="DE41" s="260">
        <f ca="1">DC41/(Ratio^2)</f>
        <v>1.2263695427480938E-2</v>
      </c>
      <c r="DG41" s="250" t="s">
        <v>628</v>
      </c>
      <c r="DH41" s="338">
        <f ca="1">MatWidth</f>
        <v>16</v>
      </c>
      <c r="DI41" s="338">
        <f ca="1">MatThickness</f>
        <v>0.3</v>
      </c>
      <c r="DJ41" s="338">
        <f ca="1">MatLnFLT</f>
        <v>48</v>
      </c>
      <c r="DK41" s="338">
        <f ca="1">MatDensity</f>
        <v>0.28299999999999997</v>
      </c>
      <c r="DL41" s="338">
        <f ca="1">MatLoop</f>
        <v>339.29200658769764</v>
      </c>
      <c r="DM41" s="350">
        <f ca="1">DH41*DI41*DK41*DL41</f>
        <v>460.89426174872841</v>
      </c>
      <c r="DN41" s="260">
        <f ca="1">((DH41*DI41*DJ41*DK41)/32.3)*(((DH6*0.5)^2)/144)*12</f>
        <v>2.0607306501547984</v>
      </c>
      <c r="DO41" s="257">
        <f ca="1">Ratio</f>
        <v>11.111000000000001</v>
      </c>
      <c r="DP41" s="260">
        <f ca="1">DN41/(Ratio^2)</f>
        <v>1.6692252109626833E-2</v>
      </c>
      <c r="DR41" s="250" t="s">
        <v>628</v>
      </c>
      <c r="DS41" s="338">
        <f ca="1">MatWidth</f>
        <v>16</v>
      </c>
      <c r="DT41" s="338">
        <f ca="1">MatThickness</f>
        <v>0.3</v>
      </c>
      <c r="DU41" s="338">
        <f ca="1">MatLnFLT</f>
        <v>48</v>
      </c>
      <c r="DV41" s="338">
        <f ca="1">MatDensity</f>
        <v>0.28299999999999997</v>
      </c>
      <c r="DW41" s="338">
        <f ca="1">MatLoop</f>
        <v>339.29200658769764</v>
      </c>
      <c r="DX41" s="350">
        <f ca="1">DS41*DT41*DV41*DW41</f>
        <v>460.89426174872841</v>
      </c>
      <c r="DY41" s="260">
        <f ca="1">((DS41*DT41*DU41*DV41)/32.3)*(((DS6*0.5)^2)/144)*12</f>
        <v>2.6915665634674917</v>
      </c>
      <c r="DZ41" s="257">
        <f ca="1">Ratio</f>
        <v>11.111000000000001</v>
      </c>
      <c r="EA41" s="260">
        <f ca="1">DY41/(Ratio^2)</f>
        <v>2.1802125204410553E-2</v>
      </c>
    </row>
    <row r="42" spans="1:131" ht="15.75" x14ac:dyDescent="0.25">
      <c r="AS42" s="250" t="s">
        <v>104</v>
      </c>
      <c r="AT42" s="245"/>
      <c r="AU42" s="245"/>
      <c r="AV42" s="245"/>
      <c r="AW42" s="245"/>
      <c r="AX42" s="245"/>
      <c r="AY42" s="245"/>
      <c r="AZ42" s="245"/>
      <c r="BA42" s="245"/>
      <c r="BB42" s="245"/>
      <c r="BD42" s="250" t="s">
        <v>104</v>
      </c>
      <c r="BE42" s="245"/>
      <c r="BF42" s="245"/>
      <c r="BG42" s="245"/>
      <c r="BH42" s="245"/>
      <c r="BI42" s="245"/>
      <c r="BJ42" s="245"/>
      <c r="BK42" s="245"/>
      <c r="BL42" s="245"/>
      <c r="BM42" s="245"/>
      <c r="BO42" s="250" t="s">
        <v>104</v>
      </c>
      <c r="BP42" s="245"/>
      <c r="BQ42" s="245"/>
      <c r="BR42" s="245"/>
      <c r="BS42" s="245"/>
      <c r="BT42" s="245"/>
      <c r="BU42" s="245"/>
      <c r="BV42" s="245"/>
      <c r="BW42" s="245"/>
      <c r="BX42" s="245"/>
      <c r="BZ42" s="250" t="s">
        <v>104</v>
      </c>
      <c r="CA42" s="245"/>
      <c r="CB42" s="245"/>
      <c r="CC42" s="245"/>
      <c r="CD42" s="245"/>
      <c r="CE42" s="245"/>
      <c r="CF42" s="245"/>
      <c r="CG42" s="245"/>
      <c r="CH42" s="245"/>
      <c r="CI42" s="245"/>
      <c r="CK42" s="250" t="s">
        <v>104</v>
      </c>
      <c r="CL42" s="245"/>
      <c r="CM42" s="245"/>
      <c r="CN42" s="245"/>
      <c r="CO42" s="245"/>
      <c r="CP42" s="245"/>
      <c r="CQ42" s="245"/>
      <c r="CR42" s="245"/>
      <c r="CS42" s="245"/>
      <c r="CT42" s="245"/>
      <c r="CV42" s="250"/>
      <c r="CW42" s="261"/>
      <c r="CX42" s="245"/>
      <c r="CY42" s="245"/>
      <c r="CZ42" s="245"/>
      <c r="DA42" s="245"/>
      <c r="DB42" s="245"/>
      <c r="DC42" s="245"/>
      <c r="DD42" s="245"/>
      <c r="DE42" s="245"/>
      <c r="DG42" s="250"/>
      <c r="DH42" s="261"/>
      <c r="DI42" s="245"/>
      <c r="DJ42" s="245"/>
      <c r="DK42" s="245"/>
      <c r="DL42" s="245"/>
      <c r="DM42" s="245"/>
      <c r="DN42" s="245"/>
      <c r="DO42" s="245"/>
      <c r="DP42" s="245"/>
      <c r="DR42" s="250"/>
      <c r="DS42" s="261"/>
      <c r="DT42" s="245"/>
      <c r="DU42" s="245"/>
      <c r="DV42" s="245"/>
      <c r="DW42" s="245"/>
      <c r="DX42" s="245"/>
      <c r="DY42" s="245"/>
      <c r="DZ42" s="245"/>
      <c r="EA42" s="245"/>
    </row>
    <row r="43" spans="1:131" ht="15.75" x14ac:dyDescent="0.25">
      <c r="AS43" s="250" t="s">
        <v>577</v>
      </c>
      <c r="AT43" s="262">
        <f ca="1">SUM(BB7:BB38)</f>
        <v>2.0383560810910091E-2</v>
      </c>
      <c r="AU43" s="245"/>
      <c r="AV43" s="245"/>
      <c r="AW43" s="245"/>
      <c r="AX43" s="245"/>
      <c r="AY43" s="245"/>
      <c r="AZ43" s="245"/>
      <c r="BA43" s="245"/>
      <c r="BB43" s="245"/>
      <c r="BD43" s="250" t="s">
        <v>577</v>
      </c>
      <c r="BE43" s="262">
        <f ca="1">SUM(BM7:BM38)</f>
        <v>2.679604147415094E-2</v>
      </c>
      <c r="BF43" s="245"/>
      <c r="BG43" s="245"/>
      <c r="BH43" s="245"/>
      <c r="BI43" s="245"/>
      <c r="BJ43" s="245"/>
      <c r="BK43" s="245"/>
      <c r="BL43" s="245"/>
      <c r="BM43" s="245"/>
      <c r="BO43" s="250" t="s">
        <v>577</v>
      </c>
      <c r="BP43" s="262">
        <f ca="1">SUM(BX7:BX38)</f>
        <v>3.3663803097304372E-2</v>
      </c>
      <c r="BQ43" s="245"/>
      <c r="BR43" s="245"/>
      <c r="BS43" s="245"/>
      <c r="BT43" s="245"/>
      <c r="BU43" s="245"/>
      <c r="BV43" s="245"/>
      <c r="BW43" s="245"/>
      <c r="BX43" s="245"/>
      <c r="BZ43" s="250" t="s">
        <v>577</v>
      </c>
      <c r="CA43" s="262">
        <f ca="1">SUM(CI7:CI38)</f>
        <v>4.0050662713203185E-2</v>
      </c>
      <c r="CB43" s="245"/>
      <c r="CC43" s="245"/>
      <c r="CD43" s="245"/>
      <c r="CE43" s="245"/>
      <c r="CF43" s="245"/>
      <c r="CG43" s="245"/>
      <c r="CH43" s="245"/>
      <c r="CI43" s="245"/>
      <c r="CK43" s="250" t="s">
        <v>577</v>
      </c>
      <c r="CL43" s="262">
        <f ca="1">SUM(CT7:CT38)</f>
        <v>0.11518097391929207</v>
      </c>
      <c r="CM43" s="245"/>
      <c r="CN43" s="245"/>
      <c r="CO43" s="245"/>
      <c r="CP43" s="245"/>
      <c r="CQ43" s="245"/>
      <c r="CR43" s="245"/>
      <c r="CS43" s="245"/>
      <c r="CT43" s="245"/>
      <c r="CV43" s="250"/>
      <c r="CW43" s="261"/>
      <c r="CX43" s="245"/>
      <c r="CY43" s="245"/>
      <c r="CZ43" s="245"/>
      <c r="DA43" s="245"/>
      <c r="DB43" s="245"/>
      <c r="DC43" s="245"/>
      <c r="DD43" s="245"/>
      <c r="DE43" s="245"/>
      <c r="DG43" s="250"/>
      <c r="DH43" s="261"/>
      <c r="DI43" s="245"/>
      <c r="DJ43" s="245"/>
      <c r="DK43" s="245"/>
      <c r="DL43" s="245"/>
      <c r="DM43" s="245"/>
      <c r="DN43" s="245"/>
      <c r="DO43" s="245"/>
      <c r="DP43" s="245"/>
      <c r="DR43" s="250"/>
      <c r="DS43" s="261"/>
      <c r="DT43" s="245"/>
      <c r="DU43" s="245"/>
      <c r="DV43" s="245"/>
      <c r="DW43" s="245"/>
      <c r="DX43" s="245"/>
      <c r="DY43" s="245"/>
      <c r="DZ43" s="245"/>
      <c r="EA43" s="245"/>
    </row>
    <row r="44" spans="1:131" ht="15.75" x14ac:dyDescent="0.25">
      <c r="CV44" s="250"/>
      <c r="CW44" s="245"/>
      <c r="CX44" s="245"/>
      <c r="CY44" s="245"/>
      <c r="CZ44" s="245"/>
      <c r="DA44" s="245"/>
      <c r="DB44" s="245"/>
      <c r="DC44" s="245"/>
      <c r="DD44" s="245"/>
      <c r="DE44" s="245"/>
      <c r="DG44" s="250"/>
      <c r="DH44" s="245"/>
      <c r="DI44" s="245"/>
      <c r="DJ44" s="245"/>
      <c r="DK44" s="245"/>
      <c r="DL44" s="245"/>
      <c r="DM44" s="245"/>
      <c r="DN44" s="245"/>
      <c r="DO44" s="245"/>
      <c r="DP44" s="245"/>
      <c r="DR44" s="250"/>
      <c r="DS44" s="245"/>
      <c r="DT44" s="245"/>
      <c r="DU44" s="245"/>
      <c r="DV44" s="245"/>
      <c r="DW44" s="245"/>
      <c r="DX44" s="245"/>
      <c r="DY44" s="245"/>
      <c r="DZ44" s="245"/>
      <c r="EA44" s="245"/>
    </row>
    <row r="45" spans="1:131" ht="15.75" x14ac:dyDescent="0.25">
      <c r="A45" s="600" t="s">
        <v>979</v>
      </c>
      <c r="B45" s="600"/>
      <c r="CV45" s="250" t="s">
        <v>104</v>
      </c>
      <c r="CW45" s="245"/>
      <c r="CX45" s="245"/>
      <c r="CY45" s="245"/>
      <c r="CZ45" s="245"/>
      <c r="DA45" s="245"/>
      <c r="DB45" s="245"/>
      <c r="DC45" s="245"/>
      <c r="DD45" s="245"/>
      <c r="DE45" s="245"/>
      <c r="DG45" s="250" t="s">
        <v>104</v>
      </c>
      <c r="DH45" s="245"/>
      <c r="DI45" s="245"/>
      <c r="DJ45" s="245"/>
      <c r="DK45" s="245"/>
      <c r="DL45" s="245"/>
      <c r="DM45" s="245"/>
      <c r="DN45" s="245"/>
      <c r="DO45" s="245"/>
      <c r="DP45" s="245"/>
      <c r="DR45" s="250" t="s">
        <v>104</v>
      </c>
      <c r="DS45" s="245"/>
      <c r="DT45" s="245"/>
      <c r="DU45" s="245"/>
      <c r="DV45" s="245"/>
      <c r="DW45" s="245"/>
      <c r="DX45" s="245"/>
      <c r="DY45" s="245"/>
      <c r="DZ45" s="245"/>
      <c r="EA45" s="245"/>
    </row>
    <row r="46" spans="1:131" ht="15.75" x14ac:dyDescent="0.25">
      <c r="A46" s="600" t="s">
        <v>826</v>
      </c>
      <c r="B46" s="600"/>
      <c r="CV46" s="250" t="s">
        <v>577</v>
      </c>
      <c r="CW46" s="256">
        <f ca="1">SUM(DE6:DE41)</f>
        <v>0.13433000364917957</v>
      </c>
      <c r="CX46" s="245"/>
      <c r="CY46" s="245"/>
      <c r="CZ46" s="245"/>
      <c r="DA46" s="245"/>
      <c r="DB46" s="245"/>
      <c r="DC46" s="245"/>
      <c r="DD46" s="245"/>
      <c r="DE46" s="245"/>
      <c r="DG46" s="250" t="s">
        <v>577</v>
      </c>
      <c r="DH46" s="351">
        <f ca="1">SUM(DP6:DP41)</f>
        <v>0.25956197251055335</v>
      </c>
      <c r="DI46" s="245"/>
      <c r="DJ46" s="245"/>
      <c r="DK46" s="245"/>
      <c r="DL46" s="245"/>
      <c r="DM46" s="245"/>
      <c r="DN46" s="245"/>
      <c r="DO46" s="245"/>
      <c r="DP46" s="245"/>
      <c r="DR46" s="250" t="s">
        <v>577</v>
      </c>
      <c r="DS46" s="351">
        <f ca="1">SUM(EA6:EA41)</f>
        <v>0.38966198312712225</v>
      </c>
      <c r="DT46" s="245"/>
      <c r="DU46" s="245"/>
      <c r="DV46" s="245"/>
      <c r="DW46" s="245"/>
      <c r="DX46" s="245"/>
      <c r="DY46" s="245"/>
      <c r="DZ46" s="245"/>
      <c r="EA46" s="245"/>
    </row>
    <row r="47" spans="1:131" x14ac:dyDescent="0.25">
      <c r="A47" s="600" t="s">
        <v>447</v>
      </c>
      <c r="B47" s="600">
        <f ca="1">INDIRECT("'" &amp; A$46 &amp; "'!" &amp; A47)</f>
        <v>42</v>
      </c>
    </row>
    <row r="48" spans="1:131" x14ac:dyDescent="0.25">
      <c r="A48" s="600" t="s">
        <v>224</v>
      </c>
      <c r="B48" s="600">
        <f t="shared" ref="B48:B54" ca="1" si="4">INDIRECT("'" &amp; A$46 &amp; "'!" &amp; A48)</f>
        <v>11.111000000000001</v>
      </c>
    </row>
    <row r="49" spans="1:2" x14ac:dyDescent="0.25">
      <c r="A49" s="600" t="s">
        <v>980</v>
      </c>
      <c r="B49" s="600">
        <f t="shared" ca="1" si="4"/>
        <v>16</v>
      </c>
    </row>
    <row r="50" spans="1:2" x14ac:dyDescent="0.25">
      <c r="A50" s="600" t="s">
        <v>982</v>
      </c>
      <c r="B50" s="600">
        <f t="shared" ca="1" si="4"/>
        <v>0.3</v>
      </c>
    </row>
    <row r="51" spans="1:2" x14ac:dyDescent="0.25">
      <c r="A51" s="600" t="s">
        <v>984</v>
      </c>
      <c r="B51" s="600">
        <f t="shared" ca="1" si="4"/>
        <v>48</v>
      </c>
    </row>
    <row r="52" spans="1:2" x14ac:dyDescent="0.25">
      <c r="A52" s="600" t="s">
        <v>983</v>
      </c>
      <c r="B52" s="600">
        <f t="shared" ca="1" si="4"/>
        <v>0.28299999999999997</v>
      </c>
    </row>
    <row r="53" spans="1:2" x14ac:dyDescent="0.25">
      <c r="A53" s="600" t="s">
        <v>981</v>
      </c>
      <c r="B53" s="600">
        <f t="shared" ca="1" si="4"/>
        <v>339.29200658769764</v>
      </c>
    </row>
    <row r="54" spans="1:2" x14ac:dyDescent="0.25">
      <c r="A54" s="600" t="s">
        <v>988</v>
      </c>
      <c r="B54" s="600" t="str">
        <f t="shared" ca="1" si="4"/>
        <v>Y</v>
      </c>
    </row>
  </sheetData>
  <sheetProtection selectLockedCells="1"/>
  <mergeCells count="3">
    <mergeCell ref="CW37:CY37"/>
    <mergeCell ref="DH37:DJ37"/>
    <mergeCell ref="DS37:DU37"/>
  </mergeCell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EACB5-E749-44C9-833B-502468A469C3}">
  <sheetPr codeName="Sheet27">
    <tabColor rgb="FFFF0000"/>
  </sheetPr>
  <dimension ref="A1:S66"/>
  <sheetViews>
    <sheetView topLeftCell="A29" workbookViewId="0">
      <selection activeCell="F53" sqref="F53"/>
    </sheetView>
  </sheetViews>
  <sheetFormatPr defaultRowHeight="15" x14ac:dyDescent="0.25"/>
  <cols>
    <col min="1" max="1" width="13.7109375" customWidth="1"/>
    <col min="2" max="2" width="11.85546875" bestFit="1" customWidth="1"/>
  </cols>
  <sheetData>
    <row r="1" spans="1:19" x14ac:dyDescent="0.25">
      <c r="D1" t="s">
        <v>629</v>
      </c>
      <c r="M1" t="s">
        <v>435</v>
      </c>
    </row>
    <row r="2" spans="1:19" ht="15.75" thickBot="1" x14ac:dyDescent="0.3"/>
    <row r="3" spans="1:19" ht="15.75" thickBot="1" x14ac:dyDescent="0.3">
      <c r="A3" s="352" t="s">
        <v>123</v>
      </c>
      <c r="B3" s="353">
        <f ca="1">((vel/ACCEL)*vel)*12</f>
        <v>10.659385939829363</v>
      </c>
      <c r="C3" s="354">
        <f ca="1">MINLN</f>
        <v>4</v>
      </c>
      <c r="D3" s="354">
        <f t="shared" ref="D3:I3" ca="1" si="0">C3+INCR</f>
        <v>8</v>
      </c>
      <c r="E3" s="354">
        <f t="shared" ca="1" si="0"/>
        <v>12</v>
      </c>
      <c r="F3" s="354">
        <f t="shared" ca="1" si="0"/>
        <v>16</v>
      </c>
      <c r="G3" s="354">
        <f t="shared" ca="1" si="0"/>
        <v>20</v>
      </c>
      <c r="H3" s="354">
        <f t="shared" ca="1" si="0"/>
        <v>24</v>
      </c>
      <c r="I3" s="354">
        <f t="shared" ca="1" si="0"/>
        <v>28</v>
      </c>
      <c r="K3" s="352" t="s">
        <v>123</v>
      </c>
      <c r="L3" s="353">
        <f ca="1">((vel/ACCEL)*vel)*12</f>
        <v>10.659385939829363</v>
      </c>
      <c r="M3" s="354">
        <f ca="1">MINLN</f>
        <v>4</v>
      </c>
      <c r="N3" s="354">
        <f t="shared" ref="N3:S3" ca="1" si="1">M3+INCR</f>
        <v>8</v>
      </c>
      <c r="O3" s="354">
        <f t="shared" ca="1" si="1"/>
        <v>12</v>
      </c>
      <c r="P3" s="354">
        <f t="shared" ca="1" si="1"/>
        <v>16</v>
      </c>
      <c r="Q3" s="354">
        <f t="shared" ca="1" si="1"/>
        <v>20</v>
      </c>
      <c r="R3" s="354">
        <f t="shared" ca="1" si="1"/>
        <v>24</v>
      </c>
      <c r="S3" s="354">
        <f t="shared" ca="1" si="1"/>
        <v>28</v>
      </c>
    </row>
    <row r="4" spans="1:19" ht="15.75" thickBot="1" x14ac:dyDescent="0.3">
      <c r="A4" s="352" t="s">
        <v>630</v>
      </c>
      <c r="B4" s="355">
        <f ca="1">SQRT((((PEAKTQ^2)*ACCTM)+((ACCTQ^2)*ACCTM)+(((FRICTQ+LOOPTQ)^2)*B5)+((SETTQ^2)*SETTM)+((LOOPTQ^2)*DWLTM))/CYCTM)</f>
        <v>420.91360686178393</v>
      </c>
      <c r="C4" s="356">
        <f t="shared" ref="C4:I4" ca="1" si="2">SQRT((((PEAKTQ^2)*C7)+((ACCTQ^2)*C7)+(((FRICTQ+LOOPTQ)^2)*C5)+((SETTQ^2)*SETTM)+((LOOPTQ^2)*C6))/C9)</f>
        <v>410.34753791124751</v>
      </c>
      <c r="D4" s="356">
        <f t="shared" ca="1" si="2"/>
        <v>418.25753428006919</v>
      </c>
      <c r="E4" s="356">
        <f t="shared" ca="1" si="2"/>
        <v>409.93057728737961</v>
      </c>
      <c r="F4" s="356">
        <f t="shared" ca="1" si="2"/>
        <v>381.9601348427023</v>
      </c>
      <c r="G4" s="356">
        <f t="shared" ca="1" si="2"/>
        <v>359.40652418031101</v>
      </c>
      <c r="H4" s="356">
        <f t="shared" ca="1" si="2"/>
        <v>340.73957258790955</v>
      </c>
      <c r="I4" s="357">
        <f t="shared" ca="1" si="2"/>
        <v>324.97185366163211</v>
      </c>
      <c r="K4" s="352" t="s">
        <v>630</v>
      </c>
      <c r="L4" s="355">
        <f ca="1">SQRT((((PEAKTQ^2)*ACCTM_2)+((ACCTQ^2)*ACCTM_2)+(((FRICTQ+LOOPTQ)^2)*L5)+((SETTQ^2)*SETTM)+((LOOPTQ^2)*DWLTM_2))/CYCTM_2)</f>
        <v>483.51424765023427</v>
      </c>
      <c r="M4" s="356">
        <f t="shared" ref="M4:S4" ca="1" si="3">SQRT((((PEAKTQ^2)*M7)+((ACCTQ^2)*M7)+(((FRICTQ+LOOPTQ)^2)*M5)+((SETTQ^2)*SETTM)+((LOOPTQ^2)*M6))/M9)</f>
        <v>471.24849522519128</v>
      </c>
      <c r="N4" s="356">
        <f t="shared" ca="1" si="3"/>
        <v>480.43122477100496</v>
      </c>
      <c r="O4" s="356">
        <f t="shared" ca="1" si="3"/>
        <v>470.76439190511837</v>
      </c>
      <c r="P4" s="356">
        <f t="shared" ca="1" si="3"/>
        <v>438.27662638754839</v>
      </c>
      <c r="Q4" s="356">
        <f t="shared" ca="1" si="3"/>
        <v>412.05874329202965</v>
      </c>
      <c r="R4" s="356">
        <f t="shared" ca="1" si="3"/>
        <v>390.34123985144743</v>
      </c>
      <c r="S4" s="357">
        <f t="shared" ca="1" si="3"/>
        <v>371.98201030239784</v>
      </c>
    </row>
    <row r="5" spans="1:19" ht="15.75" thickBot="1" x14ac:dyDescent="0.3">
      <c r="A5" s="352" t="s">
        <v>631</v>
      </c>
      <c r="B5" s="358">
        <f ca="1">IF(((ALLACC-((MPEAK*ACCTM)*12))/12)/MPEAK&gt;0,((ALLACC-((MPEAK*ACCTM)*12))/12)/MPEAK,0)</f>
        <v>0</v>
      </c>
      <c r="C5" s="50">
        <f t="shared" ref="C5:I5" ca="1" si="4">IF(C3&gt;ALLACC,((C3-ALLACC)/12)/vel,0)</f>
        <v>0</v>
      </c>
      <c r="D5" s="50">
        <f t="shared" ca="1" si="4"/>
        <v>0</v>
      </c>
      <c r="E5" s="50">
        <f t="shared" ca="1" si="4"/>
        <v>2.3707024533456435E-2</v>
      </c>
      <c r="F5" s="50">
        <f t="shared" ca="1" si="4"/>
        <v>9.4441847441218418E-2</v>
      </c>
      <c r="G5" s="50">
        <f t="shared" ca="1" si="4"/>
        <v>0.16517667034898037</v>
      </c>
      <c r="H5" s="50">
        <f t="shared" ca="1" si="4"/>
        <v>0.23591149325674232</v>
      </c>
      <c r="I5" s="359">
        <f t="shared" ca="1" si="4"/>
        <v>0.30664631616450433</v>
      </c>
      <c r="K5" s="352" t="s">
        <v>631</v>
      </c>
      <c r="L5" s="358">
        <f ca="1">IF(((ALLACC_2-((MPEAK*ACCTM_2)*12))/12)/MPEAK&gt;0,((ALLACC_2-((MPEAK*ACCTM_2)*12))/12)/MPEAK,0)</f>
        <v>0</v>
      </c>
      <c r="M5" s="50">
        <f t="shared" ref="M5:S5" ca="1" si="5">IF(M3&gt;ALLACC_2,((M3-ALLACC_2)/12)/vel,0)</f>
        <v>0</v>
      </c>
      <c r="N5" s="50">
        <f t="shared" ca="1" si="5"/>
        <v>0</v>
      </c>
      <c r="O5" s="50">
        <f t="shared" ca="1" si="5"/>
        <v>2.3707024533456435E-2</v>
      </c>
      <c r="P5" s="50">
        <f t="shared" ca="1" si="5"/>
        <v>9.4441847441218418E-2</v>
      </c>
      <c r="Q5" s="50">
        <f t="shared" ca="1" si="5"/>
        <v>0.16517667034898037</v>
      </c>
      <c r="R5" s="50">
        <f t="shared" ca="1" si="5"/>
        <v>0.23591149325674232</v>
      </c>
      <c r="S5" s="50">
        <f t="shared" ca="1" si="5"/>
        <v>0.30664631616450433</v>
      </c>
    </row>
    <row r="6" spans="1:19" ht="15.75" thickBot="1" x14ac:dyDescent="0.3">
      <c r="A6" s="352" t="s">
        <v>632</v>
      </c>
      <c r="B6" s="360">
        <f ca="1">CYCTM-MOVTM</f>
        <v>0.41199488837965892</v>
      </c>
      <c r="C6" s="55">
        <f t="shared" ref="C6:I6" ca="1" si="6">C9-C8</f>
        <v>0.2659401076758503</v>
      </c>
      <c r="D6" s="55">
        <f t="shared" ca="1" si="6"/>
        <v>0.36159863237109036</v>
      </c>
      <c r="E6" s="55">
        <f t="shared" ca="1" si="6"/>
        <v>0.43570191291311533</v>
      </c>
      <c r="F6" s="55">
        <f t="shared" ca="1" si="6"/>
        <v>0.50643673582087734</v>
      </c>
      <c r="G6" s="55">
        <f t="shared" ca="1" si="6"/>
        <v>0.57717155872863934</v>
      </c>
      <c r="H6" s="55">
        <f t="shared" ca="1" si="6"/>
        <v>0.64790638163640135</v>
      </c>
      <c r="I6" s="206">
        <f t="shared" ca="1" si="6"/>
        <v>0.71864120454416336</v>
      </c>
      <c r="K6" s="352" t="s">
        <v>632</v>
      </c>
      <c r="L6" s="360">
        <f ca="1">CYCTM_2-MOVTM_2</f>
        <v>0.20599744418982946</v>
      </c>
      <c r="M6" s="55">
        <f t="shared" ref="M6:S6" ca="1" si="7">M9-M8</f>
        <v>0.13297005383792515</v>
      </c>
      <c r="N6" s="55">
        <f t="shared" ca="1" si="7"/>
        <v>0.18079931618554512</v>
      </c>
      <c r="O6" s="55">
        <f t="shared" ca="1" si="7"/>
        <v>0.21785095645655772</v>
      </c>
      <c r="P6" s="55">
        <f t="shared" ca="1" si="7"/>
        <v>0.25321836791043861</v>
      </c>
      <c r="Q6" s="55">
        <f t="shared" ca="1" si="7"/>
        <v>0.28858577936431973</v>
      </c>
      <c r="R6" s="55">
        <f t="shared" ca="1" si="7"/>
        <v>0.32395319081820062</v>
      </c>
      <c r="S6" s="206">
        <f t="shared" ca="1" si="7"/>
        <v>0.35932060227208173</v>
      </c>
    </row>
    <row r="7" spans="1:19" ht="15.75" thickBot="1" x14ac:dyDescent="0.3">
      <c r="A7" s="352" t="s">
        <v>85</v>
      </c>
      <c r="B7" s="360">
        <f ca="1">vel/ACCEL</f>
        <v>0.18849744418982947</v>
      </c>
      <c r="C7" s="55">
        <f t="shared" ref="C7:I7" ca="1" si="8">IF(C3&gt;ALLACC,ACCTM,SQRT((C3/12)/ACCEL))</f>
        <v>0.11547005383792515</v>
      </c>
      <c r="D7" s="55">
        <f t="shared" ca="1" si="8"/>
        <v>0.16329931618554519</v>
      </c>
      <c r="E7" s="55">
        <f t="shared" ca="1" si="8"/>
        <v>0.18849744418982947</v>
      </c>
      <c r="F7" s="55">
        <f t="shared" ca="1" si="8"/>
        <v>0.18849744418982947</v>
      </c>
      <c r="G7" s="55">
        <f t="shared" ca="1" si="8"/>
        <v>0.18849744418982947</v>
      </c>
      <c r="H7" s="55">
        <f t="shared" ca="1" si="8"/>
        <v>0.18849744418982947</v>
      </c>
      <c r="I7" s="206">
        <f t="shared" ca="1" si="8"/>
        <v>0.18849744418982947</v>
      </c>
      <c r="K7" s="352" t="s">
        <v>85</v>
      </c>
      <c r="L7" s="360">
        <f ca="1">vel/ACCEL</f>
        <v>0.18849744418982947</v>
      </c>
      <c r="M7" s="55">
        <f t="shared" ref="M7:S7" ca="1" si="9">IF(M3&gt;ALLACC_2,ACCTM_2,SQRT((M3/12)/ACCEL))</f>
        <v>0.11547005383792515</v>
      </c>
      <c r="N7" s="55">
        <f t="shared" ca="1" si="9"/>
        <v>0.16329931618554519</v>
      </c>
      <c r="O7" s="55">
        <f t="shared" ca="1" si="9"/>
        <v>0.18849744418982947</v>
      </c>
      <c r="P7" s="55">
        <f t="shared" ca="1" si="9"/>
        <v>0.18849744418982947</v>
      </c>
      <c r="Q7" s="55">
        <f t="shared" ca="1" si="9"/>
        <v>0.18849744418982947</v>
      </c>
      <c r="R7" s="55">
        <f t="shared" ca="1" si="9"/>
        <v>0.18849744418982947</v>
      </c>
      <c r="S7" s="55">
        <f t="shared" ca="1" si="9"/>
        <v>0.18849744418982947</v>
      </c>
    </row>
    <row r="8" spans="1:19" ht="15.75" thickBot="1" x14ac:dyDescent="0.3">
      <c r="A8" s="352" t="s">
        <v>633</v>
      </c>
      <c r="B8" s="360">
        <f ca="1">((ACCTM*2)+B5+SETTM)</f>
        <v>0.41199488837965892</v>
      </c>
      <c r="C8" s="55">
        <f t="shared" ref="C8:I8" ca="1" si="10">(C7*2)+C5+SETTM</f>
        <v>0.2659401076758503</v>
      </c>
      <c r="D8" s="55">
        <f t="shared" ca="1" si="10"/>
        <v>0.36159863237109036</v>
      </c>
      <c r="E8" s="55">
        <f t="shared" ca="1" si="10"/>
        <v>0.43570191291311533</v>
      </c>
      <c r="F8" s="55">
        <f t="shared" ca="1" si="10"/>
        <v>0.50643673582087734</v>
      </c>
      <c r="G8" s="55">
        <f t="shared" ca="1" si="10"/>
        <v>0.57717155872863934</v>
      </c>
      <c r="H8" s="55">
        <f t="shared" ca="1" si="10"/>
        <v>0.64790638163640135</v>
      </c>
      <c r="I8" s="206">
        <f t="shared" ca="1" si="10"/>
        <v>0.71864120454416336</v>
      </c>
      <c r="K8" s="352" t="s">
        <v>633</v>
      </c>
      <c r="L8" s="360">
        <f ca="1">((ACCTM*2)+L5+SETTM)</f>
        <v>0.41199488837965892</v>
      </c>
      <c r="M8" s="55">
        <f t="shared" ref="M8:S8" ca="1" si="11">(M7*2)+M5+SETTM</f>
        <v>0.2659401076758503</v>
      </c>
      <c r="N8" s="55">
        <f t="shared" ca="1" si="11"/>
        <v>0.36159863237109036</v>
      </c>
      <c r="O8" s="55">
        <f t="shared" ca="1" si="11"/>
        <v>0.43570191291311533</v>
      </c>
      <c r="P8" s="55">
        <f t="shared" ca="1" si="11"/>
        <v>0.50643673582087734</v>
      </c>
      <c r="Q8" s="55">
        <f t="shared" ca="1" si="11"/>
        <v>0.57717155872863934</v>
      </c>
      <c r="R8" s="55">
        <f t="shared" ca="1" si="11"/>
        <v>0.64790638163640135</v>
      </c>
      <c r="S8" s="206">
        <f t="shared" ca="1" si="11"/>
        <v>0.71864120454416336</v>
      </c>
    </row>
    <row r="9" spans="1:19" ht="15.75" thickBot="1" x14ac:dyDescent="0.3">
      <c r="A9" s="352" t="s">
        <v>634</v>
      </c>
      <c r="B9" s="360">
        <f ca="1">IF(application="Press Feed",MOVTM*(360/FA),MOVTM+FA)</f>
        <v>0.82398977675931784</v>
      </c>
      <c r="C9" s="55">
        <f t="shared" ref="C9:I9" ca="1" si="12">IF(application="Press Feed",C8*(360/FA),C8+FA)</f>
        <v>0.5318802153517006</v>
      </c>
      <c r="D9" s="55">
        <f t="shared" ca="1" si="12"/>
        <v>0.72319726474218071</v>
      </c>
      <c r="E9" s="55">
        <f t="shared" ca="1" si="12"/>
        <v>0.87140382582623066</v>
      </c>
      <c r="F9" s="55">
        <f t="shared" ca="1" si="12"/>
        <v>1.0128734716417547</v>
      </c>
      <c r="G9" s="55">
        <f t="shared" ca="1" si="12"/>
        <v>1.1543431174572787</v>
      </c>
      <c r="H9" s="55">
        <f t="shared" ca="1" si="12"/>
        <v>1.2958127632728027</v>
      </c>
      <c r="I9" s="55">
        <f t="shared" ca="1" si="12"/>
        <v>1.4372824090883267</v>
      </c>
      <c r="K9" s="352" t="s">
        <v>634</v>
      </c>
      <c r="L9" s="360">
        <f ca="1">IF(application="Press Feed",MOVTM_2*(360/FA_2),MOVTM_2+FA_2)</f>
        <v>0.61799233256948838</v>
      </c>
      <c r="M9" s="55">
        <f t="shared" ref="M9:S9" ca="1" si="13">IF(application="Press Feed",M8*(360/FA_2),M8+FA_2)</f>
        <v>0.39891016151377545</v>
      </c>
      <c r="N9" s="55">
        <f t="shared" ca="1" si="13"/>
        <v>0.54239794855663548</v>
      </c>
      <c r="O9" s="55">
        <f t="shared" ca="1" si="13"/>
        <v>0.65355286936967305</v>
      </c>
      <c r="P9" s="55">
        <f t="shared" ca="1" si="13"/>
        <v>0.75965510373131595</v>
      </c>
      <c r="Q9" s="55">
        <f t="shared" ca="1" si="13"/>
        <v>0.86575733809295907</v>
      </c>
      <c r="R9" s="55">
        <f t="shared" ca="1" si="13"/>
        <v>0.97185957245460197</v>
      </c>
      <c r="S9" s="55">
        <f t="shared" ca="1" si="13"/>
        <v>1.0779618068162451</v>
      </c>
    </row>
    <row r="10" spans="1:19" ht="15.75" thickBot="1" x14ac:dyDescent="0.3">
      <c r="A10" s="352" t="s">
        <v>635</v>
      </c>
      <c r="B10" s="361">
        <f ca="1">60/CYCTM</f>
        <v>72.816437402870378</v>
      </c>
      <c r="C10" s="233">
        <f t="shared" ref="C10:I10" ca="1" si="14">IF(60/C9*C3&lt;StrMaxSpInch,ROUNDDOWN(60/C9,0),ROUNDDOWN(StrMaxSpInch/C3,0))</f>
        <v>112</v>
      </c>
      <c r="D10" s="233">
        <f t="shared" ca="1" si="14"/>
        <v>82</v>
      </c>
      <c r="E10" s="233">
        <f t="shared" ca="1" si="14"/>
        <v>68</v>
      </c>
      <c r="F10" s="233">
        <f t="shared" ca="1" si="14"/>
        <v>59</v>
      </c>
      <c r="G10" s="233">
        <f t="shared" ca="1" si="14"/>
        <v>51</v>
      </c>
      <c r="H10" s="233">
        <f t="shared" ca="1" si="14"/>
        <v>46</v>
      </c>
      <c r="I10" s="233">
        <f t="shared" ca="1" si="14"/>
        <v>41</v>
      </c>
      <c r="K10" s="352" t="s">
        <v>635</v>
      </c>
      <c r="L10" s="361">
        <f ca="1">60/CYCTM_2</f>
        <v>97.08858320382717</v>
      </c>
      <c r="M10" s="233">
        <f t="shared" ref="M10:S10" ca="1" si="15">IF(60/M9*M3&lt;StrMaxSpInch,ROUNDDOWN(60/M9,0),ROUNDDOWN(StrMaxSpInch/M3,0))</f>
        <v>150</v>
      </c>
      <c r="N10" s="233">
        <f t="shared" ca="1" si="15"/>
        <v>110</v>
      </c>
      <c r="O10" s="233">
        <f t="shared" ca="1" si="15"/>
        <v>91</v>
      </c>
      <c r="P10" s="233">
        <f t="shared" ca="1" si="15"/>
        <v>78</v>
      </c>
      <c r="Q10" s="233">
        <f t="shared" ca="1" si="15"/>
        <v>69</v>
      </c>
      <c r="R10" s="233">
        <f t="shared" ca="1" si="15"/>
        <v>60</v>
      </c>
      <c r="S10" s="233">
        <f t="shared" ca="1" si="15"/>
        <v>51</v>
      </c>
    </row>
    <row r="11" spans="1:19" ht="15.75" thickBot="1" x14ac:dyDescent="0.3">
      <c r="I11" s="201"/>
      <c r="S11" s="201"/>
    </row>
    <row r="12" spans="1:19" ht="15.75" thickBot="1" x14ac:dyDescent="0.3">
      <c r="A12" s="352" t="s">
        <v>123</v>
      </c>
      <c r="B12" s="354">
        <f ca="1">I3+INCR</f>
        <v>32</v>
      </c>
      <c r="C12" s="354">
        <f t="shared" ref="C12:I12" ca="1" si="16">B12+INCR</f>
        <v>36</v>
      </c>
      <c r="D12" s="354">
        <f t="shared" ca="1" si="16"/>
        <v>40</v>
      </c>
      <c r="E12" s="354">
        <f t="shared" ca="1" si="16"/>
        <v>44</v>
      </c>
      <c r="F12" s="354">
        <f t="shared" ca="1" si="16"/>
        <v>48</v>
      </c>
      <c r="G12" s="354">
        <f t="shared" ca="1" si="16"/>
        <v>52</v>
      </c>
      <c r="H12" s="354">
        <f t="shared" ca="1" si="16"/>
        <v>56</v>
      </c>
      <c r="I12" s="354">
        <f t="shared" ca="1" si="16"/>
        <v>60</v>
      </c>
      <c r="K12" s="352" t="s">
        <v>123</v>
      </c>
      <c r="L12" s="354">
        <f ca="1">S3+INCR</f>
        <v>32</v>
      </c>
      <c r="M12" s="354">
        <f t="shared" ref="M12:S12" ca="1" si="17">L12+INCR</f>
        <v>36</v>
      </c>
      <c r="N12" s="354">
        <f t="shared" ca="1" si="17"/>
        <v>40</v>
      </c>
      <c r="O12" s="354">
        <f t="shared" ca="1" si="17"/>
        <v>44</v>
      </c>
      <c r="P12" s="354">
        <f t="shared" ca="1" si="17"/>
        <v>48</v>
      </c>
      <c r="Q12" s="354">
        <f t="shared" ca="1" si="17"/>
        <v>52</v>
      </c>
      <c r="R12" s="354">
        <f t="shared" ca="1" si="17"/>
        <v>56</v>
      </c>
      <c r="S12" s="354">
        <f t="shared" ca="1" si="17"/>
        <v>60</v>
      </c>
    </row>
    <row r="13" spans="1:19" ht="15.75" thickBot="1" x14ac:dyDescent="0.3">
      <c r="A13" s="352" t="s">
        <v>630</v>
      </c>
      <c r="B13" s="355">
        <f t="shared" ref="B13:I13" ca="1" si="18">SQRT((((PEAKTQ^2)*B16)+((ACCTQ^2)*B16)+(((FRICTQ+LOOPTQ)^2)*B14)+((SETTQ^2)*SETTM)+((LOOPTQ^2)*B15))/B18)</f>
        <v>311.43402470162943</v>
      </c>
      <c r="C13" s="356">
        <f t="shared" ca="1" si="18"/>
        <v>299.65425114638458</v>
      </c>
      <c r="D13" s="356">
        <f t="shared" ca="1" si="18"/>
        <v>289.28914908136568</v>
      </c>
      <c r="E13" s="356">
        <f t="shared" ca="1" si="18"/>
        <v>280.08210607254625</v>
      </c>
      <c r="F13" s="356">
        <f t="shared" ca="1" si="18"/>
        <v>271.83701526165311</v>
      </c>
      <c r="G13" s="356">
        <f t="shared" ca="1" si="18"/>
        <v>264.40111130539407</v>
      </c>
      <c r="H13" s="356">
        <f t="shared" ca="1" si="18"/>
        <v>257.653402029098</v>
      </c>
      <c r="I13" s="357">
        <f t="shared" ca="1" si="18"/>
        <v>251.49666082069032</v>
      </c>
      <c r="K13" s="352" t="s">
        <v>630</v>
      </c>
      <c r="L13" s="355">
        <f t="shared" ref="L13:S13" ca="1" si="19">SQRT((((PEAKTQ^2)*L16)+((ACCTQ^2)*L16)+(((FRICTQ+LOOPTQ)^2)*L14)+((SETTQ^2)*SETTM)+((LOOPTQ^2)*L15))/L18)</f>
        <v>356.20669666367917</v>
      </c>
      <c r="M13" s="356">
        <f t="shared" ca="1" si="19"/>
        <v>342.46932037635747</v>
      </c>
      <c r="N13" s="356">
        <f t="shared" ca="1" si="19"/>
        <v>330.37245263571492</v>
      </c>
      <c r="O13" s="356">
        <f t="shared" ca="1" si="19"/>
        <v>319.61902834721985</v>
      </c>
      <c r="P13" s="356">
        <f t="shared" ca="1" si="19"/>
        <v>309.98197621914915</v>
      </c>
      <c r="Q13" s="356">
        <f t="shared" ca="1" si="19"/>
        <v>301.28437060626527</v>
      </c>
      <c r="R13" s="356">
        <f t="shared" ca="1" si="19"/>
        <v>293.38605260271123</v>
      </c>
      <c r="S13" s="357">
        <f t="shared" ca="1" si="19"/>
        <v>286.17436811179761</v>
      </c>
    </row>
    <row r="14" spans="1:19" ht="15.75" thickBot="1" x14ac:dyDescent="0.3">
      <c r="A14" s="352" t="s">
        <v>631</v>
      </c>
      <c r="B14" s="360">
        <f t="shared" ref="B14:I14" ca="1" si="20">IF(B12&gt;ALLACC,((B12-ALLACC)/12)/vel,0)</f>
        <v>0.37738113907226628</v>
      </c>
      <c r="C14" s="55">
        <f t="shared" ca="1" si="20"/>
        <v>0.44811596198002829</v>
      </c>
      <c r="D14" s="55">
        <f t="shared" ca="1" si="20"/>
        <v>0.51885078488779024</v>
      </c>
      <c r="E14" s="55">
        <f t="shared" ca="1" si="20"/>
        <v>0.58958560779555225</v>
      </c>
      <c r="F14" s="55">
        <f t="shared" ca="1" si="20"/>
        <v>0.66032043070331425</v>
      </c>
      <c r="G14" s="55">
        <f t="shared" ca="1" si="20"/>
        <v>0.73105525361107615</v>
      </c>
      <c r="H14" s="55">
        <f t="shared" ca="1" si="20"/>
        <v>0.80179007651883816</v>
      </c>
      <c r="I14" s="206">
        <f t="shared" ca="1" si="20"/>
        <v>0.87252489942660005</v>
      </c>
      <c r="K14" s="352" t="s">
        <v>631</v>
      </c>
      <c r="L14" s="360">
        <f t="shared" ref="L14:S14" ca="1" si="21">IF(L12&gt;ALLACC_2,((L12-ALLACC_2)/12)/vel,0)</f>
        <v>0.37738113907226628</v>
      </c>
      <c r="M14" s="360">
        <f t="shared" ca="1" si="21"/>
        <v>0.44811596198002829</v>
      </c>
      <c r="N14" s="360">
        <f t="shared" ca="1" si="21"/>
        <v>0.51885078488779024</v>
      </c>
      <c r="O14" s="360">
        <f t="shared" ca="1" si="21"/>
        <v>0.58958560779555225</v>
      </c>
      <c r="P14" s="360">
        <f t="shared" ca="1" si="21"/>
        <v>0.66032043070331425</v>
      </c>
      <c r="Q14" s="360">
        <f t="shared" ca="1" si="21"/>
        <v>0.73105525361107615</v>
      </c>
      <c r="R14" s="360">
        <f t="shared" ca="1" si="21"/>
        <v>0.80179007651883816</v>
      </c>
      <c r="S14" s="360">
        <f t="shared" ca="1" si="21"/>
        <v>0.87252489942660005</v>
      </c>
    </row>
    <row r="15" spans="1:19" ht="15.75" thickBot="1" x14ac:dyDescent="0.3">
      <c r="A15" s="352" t="s">
        <v>632</v>
      </c>
      <c r="B15" s="360">
        <f t="shared" ref="B15:I15" ca="1" si="22">B18-B17</f>
        <v>0.78937602745192526</v>
      </c>
      <c r="C15" s="55">
        <f t="shared" ca="1" si="22"/>
        <v>0.86011085035968726</v>
      </c>
      <c r="D15" s="55">
        <f t="shared" ca="1" si="22"/>
        <v>0.93084567326744916</v>
      </c>
      <c r="E15" s="55">
        <f t="shared" ca="1" si="22"/>
        <v>1.0015804961752111</v>
      </c>
      <c r="F15" s="55">
        <f t="shared" ca="1" si="22"/>
        <v>1.0723153190829731</v>
      </c>
      <c r="G15" s="55">
        <f t="shared" ca="1" si="22"/>
        <v>1.1430501419907351</v>
      </c>
      <c r="H15" s="55">
        <f t="shared" ca="1" si="22"/>
        <v>1.2137849648984971</v>
      </c>
      <c r="I15" s="206">
        <f t="shared" ca="1" si="22"/>
        <v>1.2845197878062589</v>
      </c>
      <c r="K15" s="352" t="s">
        <v>632</v>
      </c>
      <c r="L15" s="360">
        <f t="shared" ref="L15:S15" ca="1" si="23">L18-L17</f>
        <v>0.39468801372596274</v>
      </c>
      <c r="M15" s="55">
        <f t="shared" ca="1" si="23"/>
        <v>0.43005542517984363</v>
      </c>
      <c r="N15" s="55">
        <f t="shared" ca="1" si="23"/>
        <v>0.46542283663372463</v>
      </c>
      <c r="O15" s="55">
        <f t="shared" ca="1" si="23"/>
        <v>0.50079024808760564</v>
      </c>
      <c r="P15" s="55">
        <f t="shared" ca="1" si="23"/>
        <v>0.53615765954148653</v>
      </c>
      <c r="Q15" s="55">
        <f t="shared" ca="1" si="23"/>
        <v>0.57152507099536742</v>
      </c>
      <c r="R15" s="55">
        <f t="shared" ca="1" si="23"/>
        <v>0.60689248244924854</v>
      </c>
      <c r="S15" s="206">
        <f t="shared" ca="1" si="23"/>
        <v>0.64225989390312943</v>
      </c>
    </row>
    <row r="16" spans="1:19" ht="15.75" thickBot="1" x14ac:dyDescent="0.3">
      <c r="A16" s="352" t="s">
        <v>85</v>
      </c>
      <c r="B16" s="360">
        <f t="shared" ref="B16:I16" ca="1" si="24">IF(B12&gt;ALLACC,ACCTM,SQRT((B12/12)/ACCEL))</f>
        <v>0.18849744418982947</v>
      </c>
      <c r="C16" s="55">
        <f t="shared" ca="1" si="24"/>
        <v>0.18849744418982947</v>
      </c>
      <c r="D16" s="55">
        <f t="shared" ca="1" si="24"/>
        <v>0.18849744418982947</v>
      </c>
      <c r="E16" s="55">
        <f t="shared" ca="1" si="24"/>
        <v>0.18849744418982947</v>
      </c>
      <c r="F16" s="55">
        <f t="shared" ca="1" si="24"/>
        <v>0.18849744418982947</v>
      </c>
      <c r="G16" s="55">
        <f t="shared" ca="1" si="24"/>
        <v>0.18849744418982947</v>
      </c>
      <c r="H16" s="55">
        <f t="shared" ca="1" si="24"/>
        <v>0.18849744418982947</v>
      </c>
      <c r="I16" s="206">
        <f t="shared" ca="1" si="24"/>
        <v>0.18849744418982947</v>
      </c>
      <c r="K16" s="352" t="s">
        <v>85</v>
      </c>
      <c r="L16" s="360">
        <f t="shared" ref="L16:S16" ca="1" si="25">IF(L12&gt;ALLACC_2,ACCTM_2,SQRT((L12/12)/ACCEL))</f>
        <v>0.18849744418982947</v>
      </c>
      <c r="M16" s="360">
        <f t="shared" ca="1" si="25"/>
        <v>0.18849744418982947</v>
      </c>
      <c r="N16" s="360">
        <f t="shared" ca="1" si="25"/>
        <v>0.18849744418982947</v>
      </c>
      <c r="O16" s="360">
        <f t="shared" ca="1" si="25"/>
        <v>0.18849744418982947</v>
      </c>
      <c r="P16" s="360">
        <f t="shared" ca="1" si="25"/>
        <v>0.18849744418982947</v>
      </c>
      <c r="Q16" s="360">
        <f t="shared" ca="1" si="25"/>
        <v>0.18849744418982947</v>
      </c>
      <c r="R16" s="360">
        <f t="shared" ca="1" si="25"/>
        <v>0.18849744418982947</v>
      </c>
      <c r="S16" s="360">
        <f t="shared" ca="1" si="25"/>
        <v>0.18849744418982947</v>
      </c>
    </row>
    <row r="17" spans="1:19" ht="15.75" thickBot="1" x14ac:dyDescent="0.3">
      <c r="A17" s="352" t="s">
        <v>633</v>
      </c>
      <c r="B17" s="360">
        <f t="shared" ref="B17:I17" ca="1" si="26">(B16*2)+B14+SETTM</f>
        <v>0.78937602745192526</v>
      </c>
      <c r="C17" s="55">
        <f t="shared" ca="1" si="26"/>
        <v>0.86011085035968726</v>
      </c>
      <c r="D17" s="55">
        <f t="shared" ca="1" si="26"/>
        <v>0.93084567326744916</v>
      </c>
      <c r="E17" s="55">
        <f t="shared" ca="1" si="26"/>
        <v>1.0015804961752111</v>
      </c>
      <c r="F17" s="55">
        <f t="shared" ca="1" si="26"/>
        <v>1.0723153190829731</v>
      </c>
      <c r="G17" s="55">
        <f t="shared" ca="1" si="26"/>
        <v>1.1430501419907351</v>
      </c>
      <c r="H17" s="55">
        <f t="shared" ca="1" si="26"/>
        <v>1.2137849648984971</v>
      </c>
      <c r="I17" s="206">
        <f t="shared" ca="1" si="26"/>
        <v>1.2845197878062589</v>
      </c>
      <c r="K17" s="352" t="s">
        <v>633</v>
      </c>
      <c r="L17" s="360">
        <f t="shared" ref="L17:S17" ca="1" si="27">(L16*2)+L14+SETTM</f>
        <v>0.78937602745192526</v>
      </c>
      <c r="M17" s="55">
        <f t="shared" ca="1" si="27"/>
        <v>0.86011085035968726</v>
      </c>
      <c r="N17" s="55">
        <f t="shared" ca="1" si="27"/>
        <v>0.93084567326744916</v>
      </c>
      <c r="O17" s="55">
        <f t="shared" ca="1" si="27"/>
        <v>1.0015804961752111</v>
      </c>
      <c r="P17" s="55">
        <f t="shared" ca="1" si="27"/>
        <v>1.0723153190829731</v>
      </c>
      <c r="Q17" s="55">
        <f t="shared" ca="1" si="27"/>
        <v>1.1430501419907351</v>
      </c>
      <c r="R17" s="55">
        <f t="shared" ca="1" si="27"/>
        <v>1.2137849648984971</v>
      </c>
      <c r="S17" s="206">
        <f t="shared" ca="1" si="27"/>
        <v>1.2845197878062589</v>
      </c>
    </row>
    <row r="18" spans="1:19" ht="15.75" thickBot="1" x14ac:dyDescent="0.3">
      <c r="A18" s="352" t="s">
        <v>634</v>
      </c>
      <c r="B18" s="360">
        <f t="shared" ref="B18:I18" ca="1" si="28">IF(application="Press Feed",B17*(360/FA),B17+FA)</f>
        <v>1.5787520549038505</v>
      </c>
      <c r="C18" s="360">
        <f t="shared" ca="1" si="28"/>
        <v>1.7202217007193745</v>
      </c>
      <c r="D18" s="360">
        <f t="shared" ca="1" si="28"/>
        <v>1.8616913465348983</v>
      </c>
      <c r="E18" s="360">
        <f t="shared" ca="1" si="28"/>
        <v>2.0031609923504221</v>
      </c>
      <c r="F18" s="360">
        <f t="shared" ca="1" si="28"/>
        <v>2.1446306381659461</v>
      </c>
      <c r="G18" s="360">
        <f t="shared" ca="1" si="28"/>
        <v>2.2861002839814701</v>
      </c>
      <c r="H18" s="360">
        <f t="shared" ca="1" si="28"/>
        <v>2.4275699297969942</v>
      </c>
      <c r="I18" s="360">
        <f t="shared" ca="1" si="28"/>
        <v>2.5690395756125177</v>
      </c>
      <c r="K18" s="352" t="s">
        <v>634</v>
      </c>
      <c r="L18" s="360">
        <f t="shared" ref="L18:S18" ca="1" si="29">IF(application="Press Feed",L17*(360/FA_2),L17+FA_2)</f>
        <v>1.184064041177888</v>
      </c>
      <c r="M18" s="360">
        <f t="shared" ca="1" si="29"/>
        <v>1.2901662755395309</v>
      </c>
      <c r="N18" s="360">
        <f t="shared" ca="1" si="29"/>
        <v>1.3962685099011738</v>
      </c>
      <c r="O18" s="360">
        <f t="shared" ca="1" si="29"/>
        <v>1.5023707442628167</v>
      </c>
      <c r="P18" s="360">
        <f t="shared" ca="1" si="29"/>
        <v>1.6084729786244596</v>
      </c>
      <c r="Q18" s="360">
        <f t="shared" ca="1" si="29"/>
        <v>1.7145752129861025</v>
      </c>
      <c r="R18" s="360">
        <f t="shared" ca="1" si="29"/>
        <v>1.8206774473477456</v>
      </c>
      <c r="S18" s="360">
        <f t="shared" ca="1" si="29"/>
        <v>1.9267796817093883</v>
      </c>
    </row>
    <row r="19" spans="1:19" ht="15.75" thickBot="1" x14ac:dyDescent="0.3">
      <c r="A19" s="352" t="s">
        <v>635</v>
      </c>
      <c r="B19" s="362">
        <f t="shared" ref="B19:I19" ca="1" si="30">IF(60/B18*B12&lt;StrMaxSpInch,ROUNDDOWN(60/B18,0),ROUNDDOWN(StrMaxSpInch/B12,0))</f>
        <v>38</v>
      </c>
      <c r="C19" s="362">
        <f t="shared" ca="1" si="30"/>
        <v>34</v>
      </c>
      <c r="D19" s="362">
        <f t="shared" ca="1" si="30"/>
        <v>32</v>
      </c>
      <c r="E19" s="362">
        <f t="shared" ca="1" si="30"/>
        <v>29</v>
      </c>
      <c r="F19" s="362">
        <f t="shared" ca="1" si="30"/>
        <v>27</v>
      </c>
      <c r="G19" s="362">
        <f t="shared" ca="1" si="30"/>
        <v>26</v>
      </c>
      <c r="H19" s="362">
        <f t="shared" ca="1" si="30"/>
        <v>24</v>
      </c>
      <c r="I19" s="362">
        <f t="shared" ca="1" si="30"/>
        <v>23</v>
      </c>
      <c r="K19" s="352" t="s">
        <v>635</v>
      </c>
      <c r="L19" s="362">
        <f t="shared" ref="L19:S19" ca="1" si="31">IF(60/L18*L12&lt;StrMaxSpInch,ROUNDDOWN(60/L18,0),ROUNDDOWN(StrMaxSpInch/L12,0))</f>
        <v>45</v>
      </c>
      <c r="M19" s="362">
        <f t="shared" ca="1" si="31"/>
        <v>40</v>
      </c>
      <c r="N19" s="362">
        <f t="shared" ca="1" si="31"/>
        <v>36</v>
      </c>
      <c r="O19" s="362">
        <f t="shared" ca="1" si="31"/>
        <v>32</v>
      </c>
      <c r="P19" s="362">
        <f t="shared" ca="1" si="31"/>
        <v>30</v>
      </c>
      <c r="Q19" s="362">
        <f t="shared" ca="1" si="31"/>
        <v>27</v>
      </c>
      <c r="R19" s="362">
        <f t="shared" ca="1" si="31"/>
        <v>25</v>
      </c>
      <c r="S19" s="362">
        <f t="shared" ca="1" si="31"/>
        <v>24</v>
      </c>
    </row>
    <row r="20" spans="1:19" ht="15.75" thickBot="1" x14ac:dyDescent="0.3">
      <c r="I20" s="201"/>
      <c r="S20" s="201"/>
    </row>
    <row r="21" spans="1:19" ht="15.75" thickBot="1" x14ac:dyDescent="0.3">
      <c r="A21" s="352" t="s">
        <v>123</v>
      </c>
      <c r="B21" s="363">
        <f ca="1">I12+INCR</f>
        <v>64</v>
      </c>
      <c r="C21" s="354">
        <f t="shared" ref="C21:I21" ca="1" si="32">B21+INCR</f>
        <v>68</v>
      </c>
      <c r="D21" s="354">
        <f t="shared" ca="1" si="32"/>
        <v>72</v>
      </c>
      <c r="E21" s="354">
        <f t="shared" ca="1" si="32"/>
        <v>76</v>
      </c>
      <c r="F21" s="354">
        <f t="shared" ca="1" si="32"/>
        <v>80</v>
      </c>
      <c r="G21" s="354">
        <f t="shared" ca="1" si="32"/>
        <v>84</v>
      </c>
      <c r="H21" s="354">
        <f t="shared" ca="1" si="32"/>
        <v>88</v>
      </c>
      <c r="I21" s="354">
        <f t="shared" ca="1" si="32"/>
        <v>92</v>
      </c>
      <c r="K21" s="352" t="s">
        <v>123</v>
      </c>
      <c r="L21" s="363">
        <f ca="1">S12+INCR</f>
        <v>64</v>
      </c>
      <c r="M21" s="354">
        <f t="shared" ref="M21:S21" ca="1" si="33">L21+INCR</f>
        <v>68</v>
      </c>
      <c r="N21" s="354">
        <f t="shared" ca="1" si="33"/>
        <v>72</v>
      </c>
      <c r="O21" s="354">
        <f t="shared" ca="1" si="33"/>
        <v>76</v>
      </c>
      <c r="P21" s="354">
        <f t="shared" ca="1" si="33"/>
        <v>80</v>
      </c>
      <c r="Q21" s="354">
        <f t="shared" ca="1" si="33"/>
        <v>84</v>
      </c>
      <c r="R21" s="354">
        <f t="shared" ca="1" si="33"/>
        <v>88</v>
      </c>
      <c r="S21" s="354">
        <f t="shared" ca="1" si="33"/>
        <v>92</v>
      </c>
    </row>
    <row r="22" spans="1:19" ht="15.75" thickBot="1" x14ac:dyDescent="0.3">
      <c r="A22" s="352" t="s">
        <v>630</v>
      </c>
      <c r="B22" s="355">
        <f t="shared" ref="B22:I22" ca="1" si="34">SQRT((((PEAKTQ^2)*B25)+((ACCTQ^2)*B25)+(((FRICTQ+LOOPTQ)^2)*B23)+((SETTQ^2)*SETTM)+((LOOPTQ^2)*B24))/B27)</f>
        <v>245.85175340619659</v>
      </c>
      <c r="C22" s="356">
        <f t="shared" ca="1" si="34"/>
        <v>240.65353543573715</v>
      </c>
      <c r="D22" s="356">
        <f t="shared" ca="1" si="34"/>
        <v>235.84783165704204</v>
      </c>
      <c r="E22" s="356">
        <f t="shared" ca="1" si="34"/>
        <v>231.38917519858271</v>
      </c>
      <c r="F22" s="356">
        <f t="shared" ca="1" si="34"/>
        <v>227.23909089799099</v>
      </c>
      <c r="G22" s="356">
        <f t="shared" ca="1" si="34"/>
        <v>223.36477449496914</v>
      </c>
      <c r="H22" s="356">
        <f t="shared" ca="1" si="34"/>
        <v>219.73806419414475</v>
      </c>
      <c r="I22" s="357">
        <f t="shared" ca="1" si="34"/>
        <v>216.33463110905205</v>
      </c>
      <c r="K22" s="352" t="s">
        <v>630</v>
      </c>
      <c r="L22" s="355">
        <f t="shared" ref="L22:S22" ca="1" si="35">SQRT((((PEAKTQ^2)*L25)+((ACCTQ^2)*L25)+(((FRICTQ+LOOPTQ)^2)*L23)+((SETTQ^2)*SETTM)+((LOOPTQ^2)*L24))/L27)</f>
        <v>279.55760520766603</v>
      </c>
      <c r="M22" s="356">
        <f t="shared" ca="1" si="35"/>
        <v>273.46024802373563</v>
      </c>
      <c r="N22" s="356">
        <f t="shared" ca="1" si="35"/>
        <v>267.81948153314283</v>
      </c>
      <c r="O22" s="356">
        <f t="shared" ca="1" si="35"/>
        <v>262.58257550280075</v>
      </c>
      <c r="P22" s="356">
        <f t="shared" ca="1" si="35"/>
        <v>257.70489777088846</v>
      </c>
      <c r="Q22" s="356">
        <f t="shared" ca="1" si="35"/>
        <v>253.14838548269421</v>
      </c>
      <c r="R22" s="356">
        <f t="shared" ca="1" si="35"/>
        <v>248.88035458823106</v>
      </c>
      <c r="S22" s="357">
        <f t="shared" ca="1" si="35"/>
        <v>244.87256260150852</v>
      </c>
    </row>
    <row r="23" spans="1:19" ht="15.75" thickBot="1" x14ac:dyDescent="0.3">
      <c r="A23" s="352" t="s">
        <v>631</v>
      </c>
      <c r="B23" s="360">
        <f t="shared" ref="B23:I23" ca="1" si="36">IF(B21&gt;ALLACC,((B21-ALLACC)/12)/vel,0)</f>
        <v>0.94325972233436217</v>
      </c>
      <c r="C23" s="55">
        <f t="shared" ca="1" si="36"/>
        <v>1.013994545242124</v>
      </c>
      <c r="D23" s="55">
        <f t="shared" ca="1" si="36"/>
        <v>1.084729368149886</v>
      </c>
      <c r="E23" s="55">
        <f t="shared" ca="1" si="36"/>
        <v>1.155464191057648</v>
      </c>
      <c r="F23" s="55">
        <f t="shared" ca="1" si="36"/>
        <v>1.22619901396541</v>
      </c>
      <c r="G23" s="55">
        <f t="shared" ca="1" si="36"/>
        <v>1.2969338368731718</v>
      </c>
      <c r="H23" s="55">
        <f t="shared" ca="1" si="36"/>
        <v>1.367668659780934</v>
      </c>
      <c r="I23" s="206">
        <f t="shared" ca="1" si="36"/>
        <v>1.4384034826886958</v>
      </c>
      <c r="K23" s="352" t="s">
        <v>631</v>
      </c>
      <c r="L23" s="360">
        <f t="shared" ref="L23:S23" ca="1" si="37">IF(L21&gt;ALLACC_2,((L21-ALLACC_2)/12)/vel,0)</f>
        <v>0.94325972233436217</v>
      </c>
      <c r="M23" s="360">
        <f t="shared" ca="1" si="37"/>
        <v>1.013994545242124</v>
      </c>
      <c r="N23" s="360">
        <f t="shared" ca="1" si="37"/>
        <v>1.084729368149886</v>
      </c>
      <c r="O23" s="360">
        <f t="shared" ca="1" si="37"/>
        <v>1.155464191057648</v>
      </c>
      <c r="P23" s="360">
        <f t="shared" ca="1" si="37"/>
        <v>1.22619901396541</v>
      </c>
      <c r="Q23" s="360">
        <f t="shared" ca="1" si="37"/>
        <v>1.2969338368731718</v>
      </c>
      <c r="R23" s="360">
        <f t="shared" ca="1" si="37"/>
        <v>1.367668659780934</v>
      </c>
      <c r="S23" s="360">
        <f t="shared" ca="1" si="37"/>
        <v>1.4384034826886958</v>
      </c>
    </row>
    <row r="24" spans="1:19" ht="15.75" thickBot="1" x14ac:dyDescent="0.3">
      <c r="A24" s="352" t="s">
        <v>632</v>
      </c>
      <c r="B24" s="360">
        <f t="shared" ref="B24:I24" ca="1" si="38">B27-B26</f>
        <v>1.3552546107140211</v>
      </c>
      <c r="C24" s="55">
        <f t="shared" ca="1" si="38"/>
        <v>1.4259894336217829</v>
      </c>
      <c r="D24" s="55">
        <f t="shared" ca="1" si="38"/>
        <v>1.4967242565295449</v>
      </c>
      <c r="E24" s="55">
        <f t="shared" ca="1" si="38"/>
        <v>1.5674590794373069</v>
      </c>
      <c r="F24" s="55">
        <f t="shared" ca="1" si="38"/>
        <v>1.6381939023450689</v>
      </c>
      <c r="G24" s="55">
        <f t="shared" ca="1" si="38"/>
        <v>1.7089287252528307</v>
      </c>
      <c r="H24" s="55">
        <f t="shared" ca="1" si="38"/>
        <v>1.7796635481605929</v>
      </c>
      <c r="I24" s="206">
        <f t="shared" ca="1" si="38"/>
        <v>1.8503983710683547</v>
      </c>
      <c r="K24" s="352" t="s">
        <v>632</v>
      </c>
      <c r="L24" s="360">
        <f t="shared" ref="L24:S24" ca="1" si="39">L27-L26</f>
        <v>0.67762730535701055</v>
      </c>
      <c r="M24" s="55">
        <f t="shared" ca="1" si="39"/>
        <v>0.71299471681089122</v>
      </c>
      <c r="N24" s="55">
        <f t="shared" ca="1" si="39"/>
        <v>0.74836212826477255</v>
      </c>
      <c r="O24" s="55">
        <f t="shared" ca="1" si="39"/>
        <v>0.78372953971865345</v>
      </c>
      <c r="P24" s="55">
        <f t="shared" ca="1" si="39"/>
        <v>0.81909695117253434</v>
      </c>
      <c r="Q24" s="55">
        <f t="shared" ca="1" si="39"/>
        <v>0.85446436262641545</v>
      </c>
      <c r="R24" s="55">
        <f t="shared" ca="1" si="39"/>
        <v>0.88983177408029657</v>
      </c>
      <c r="S24" s="206">
        <f t="shared" ca="1" si="39"/>
        <v>0.92519918553417724</v>
      </c>
    </row>
    <row r="25" spans="1:19" ht="15.75" thickBot="1" x14ac:dyDescent="0.3">
      <c r="A25" s="352" t="s">
        <v>85</v>
      </c>
      <c r="B25" s="360">
        <f t="shared" ref="B25:I25" ca="1" si="40">IF(B21&gt;ALLACC,ACCTM,SQRT((B21/12)/ACCEL))</f>
        <v>0.18849744418982947</v>
      </c>
      <c r="C25" s="55">
        <f t="shared" ca="1" si="40"/>
        <v>0.18849744418982947</v>
      </c>
      <c r="D25" s="55">
        <f t="shared" ca="1" si="40"/>
        <v>0.18849744418982947</v>
      </c>
      <c r="E25" s="55">
        <f t="shared" ca="1" si="40"/>
        <v>0.18849744418982947</v>
      </c>
      <c r="F25" s="55">
        <f t="shared" ca="1" si="40"/>
        <v>0.18849744418982947</v>
      </c>
      <c r="G25" s="55">
        <f t="shared" ca="1" si="40"/>
        <v>0.18849744418982947</v>
      </c>
      <c r="H25" s="55">
        <f t="shared" ca="1" si="40"/>
        <v>0.18849744418982947</v>
      </c>
      <c r="I25" s="206">
        <f t="shared" ca="1" si="40"/>
        <v>0.18849744418982947</v>
      </c>
      <c r="K25" s="352" t="s">
        <v>85</v>
      </c>
      <c r="L25" s="360">
        <f t="shared" ref="L25:S25" ca="1" si="41">IF(L21&gt;ALLACC_2,ACCTM_2,SQRT((L21/12)/ACCEL))</f>
        <v>0.18849744418982947</v>
      </c>
      <c r="M25" s="360">
        <f t="shared" ca="1" si="41"/>
        <v>0.18849744418982947</v>
      </c>
      <c r="N25" s="360">
        <f t="shared" ca="1" si="41"/>
        <v>0.18849744418982947</v>
      </c>
      <c r="O25" s="360">
        <f t="shared" ca="1" si="41"/>
        <v>0.18849744418982947</v>
      </c>
      <c r="P25" s="360">
        <f t="shared" ca="1" si="41"/>
        <v>0.18849744418982947</v>
      </c>
      <c r="Q25" s="360">
        <f t="shared" ca="1" si="41"/>
        <v>0.18849744418982947</v>
      </c>
      <c r="R25" s="360">
        <f t="shared" ca="1" si="41"/>
        <v>0.18849744418982947</v>
      </c>
      <c r="S25" s="360">
        <f t="shared" ca="1" si="41"/>
        <v>0.18849744418982947</v>
      </c>
    </row>
    <row r="26" spans="1:19" ht="15.75" thickBot="1" x14ac:dyDescent="0.3">
      <c r="A26" s="352" t="s">
        <v>633</v>
      </c>
      <c r="B26" s="360">
        <f t="shared" ref="B26:I26" ca="1" si="42">(B25*2)+B23+SETTM</f>
        <v>1.3552546107140211</v>
      </c>
      <c r="C26" s="55">
        <f t="shared" ca="1" si="42"/>
        <v>1.4259894336217829</v>
      </c>
      <c r="D26" s="55">
        <f t="shared" ca="1" si="42"/>
        <v>1.4967242565295449</v>
      </c>
      <c r="E26" s="55">
        <f t="shared" ca="1" si="42"/>
        <v>1.5674590794373069</v>
      </c>
      <c r="F26" s="55">
        <f t="shared" ca="1" si="42"/>
        <v>1.6381939023450689</v>
      </c>
      <c r="G26" s="55">
        <f t="shared" ca="1" si="42"/>
        <v>1.7089287252528307</v>
      </c>
      <c r="H26" s="55">
        <f t="shared" ca="1" si="42"/>
        <v>1.7796635481605929</v>
      </c>
      <c r="I26" s="206">
        <f t="shared" ca="1" si="42"/>
        <v>1.8503983710683547</v>
      </c>
      <c r="K26" s="352" t="s">
        <v>633</v>
      </c>
      <c r="L26" s="360">
        <f t="shared" ref="L26:S26" ca="1" si="43">(L25*2)+L23+SETTM</f>
        <v>1.3552546107140211</v>
      </c>
      <c r="M26" s="55">
        <f t="shared" ca="1" si="43"/>
        <v>1.4259894336217829</v>
      </c>
      <c r="N26" s="55">
        <f t="shared" ca="1" si="43"/>
        <v>1.4967242565295449</v>
      </c>
      <c r="O26" s="55">
        <f t="shared" ca="1" si="43"/>
        <v>1.5674590794373069</v>
      </c>
      <c r="P26" s="55">
        <f t="shared" ca="1" si="43"/>
        <v>1.6381939023450689</v>
      </c>
      <c r="Q26" s="55">
        <f t="shared" ca="1" si="43"/>
        <v>1.7089287252528307</v>
      </c>
      <c r="R26" s="55">
        <f t="shared" ca="1" si="43"/>
        <v>1.7796635481605929</v>
      </c>
      <c r="S26" s="206">
        <f t="shared" ca="1" si="43"/>
        <v>1.8503983710683547</v>
      </c>
    </row>
    <row r="27" spans="1:19" ht="15.75" thickBot="1" x14ac:dyDescent="0.3">
      <c r="A27" s="352" t="s">
        <v>634</v>
      </c>
      <c r="B27" s="360">
        <f t="shared" ref="B27:I27" ca="1" si="44">IF(application="Press Feed",B26*(360/FA),B26+FA)</f>
        <v>2.7105092214280422</v>
      </c>
      <c r="C27" s="360">
        <f t="shared" ca="1" si="44"/>
        <v>2.8519788672435658</v>
      </c>
      <c r="D27" s="360">
        <f t="shared" ca="1" si="44"/>
        <v>2.9934485130590898</v>
      </c>
      <c r="E27" s="360">
        <f t="shared" ca="1" si="44"/>
        <v>3.1349181588746138</v>
      </c>
      <c r="F27" s="360">
        <f t="shared" ca="1" si="44"/>
        <v>3.2763878046901378</v>
      </c>
      <c r="G27" s="360">
        <f t="shared" ca="1" si="44"/>
        <v>3.4178574505056614</v>
      </c>
      <c r="H27" s="360">
        <f t="shared" ca="1" si="44"/>
        <v>3.5593270963211858</v>
      </c>
      <c r="I27" s="360">
        <f t="shared" ca="1" si="44"/>
        <v>3.7007967421367094</v>
      </c>
      <c r="K27" s="352" t="s">
        <v>634</v>
      </c>
      <c r="L27" s="360">
        <f t="shared" ref="L27:S27" ca="1" si="45">IF(application="Press Feed",L26*(360/FA_2),L26+FA_2)</f>
        <v>2.0328819160710316</v>
      </c>
      <c r="M27" s="360">
        <f t="shared" ca="1" si="45"/>
        <v>2.1389841504326741</v>
      </c>
      <c r="N27" s="360">
        <f t="shared" ca="1" si="45"/>
        <v>2.2450863847943174</v>
      </c>
      <c r="O27" s="360">
        <f t="shared" ca="1" si="45"/>
        <v>2.3511886191559603</v>
      </c>
      <c r="P27" s="360">
        <f t="shared" ca="1" si="45"/>
        <v>2.4572908535176032</v>
      </c>
      <c r="Q27" s="360">
        <f t="shared" ca="1" si="45"/>
        <v>2.5633930878792461</v>
      </c>
      <c r="R27" s="360">
        <f t="shared" ca="1" si="45"/>
        <v>2.6694953222408895</v>
      </c>
      <c r="S27" s="360">
        <f t="shared" ca="1" si="45"/>
        <v>2.7755975566025319</v>
      </c>
    </row>
    <row r="28" spans="1:19" ht="15.75" thickBot="1" x14ac:dyDescent="0.3">
      <c r="A28" s="352" t="s">
        <v>635</v>
      </c>
      <c r="B28" s="362">
        <f t="shared" ref="B28:I28" ca="1" si="46">IF(60/B27*B21&lt;StrMaxSpInch,ROUNDDOWN(60/B27,0),ROUNDDOWN(StrMaxSpInch/B21,0))</f>
        <v>22</v>
      </c>
      <c r="C28" s="362">
        <f t="shared" ca="1" si="46"/>
        <v>21</v>
      </c>
      <c r="D28" s="362">
        <f t="shared" ca="1" si="46"/>
        <v>20</v>
      </c>
      <c r="E28" s="362">
        <f t="shared" ca="1" si="46"/>
        <v>18</v>
      </c>
      <c r="F28" s="362">
        <f t="shared" ca="1" si="46"/>
        <v>18</v>
      </c>
      <c r="G28" s="362">
        <f t="shared" ca="1" si="46"/>
        <v>17</v>
      </c>
      <c r="H28" s="362">
        <f t="shared" ca="1" si="46"/>
        <v>16</v>
      </c>
      <c r="I28" s="362">
        <f t="shared" ca="1" si="46"/>
        <v>15</v>
      </c>
      <c r="K28" s="352" t="s">
        <v>635</v>
      </c>
      <c r="L28" s="362">
        <f t="shared" ref="L28:S28" ca="1" si="47">IF(60/L27*L21&lt;StrMaxSpInch,ROUNDDOWN(60/L27,0),ROUNDDOWN(StrMaxSpInch/L21,0))</f>
        <v>22</v>
      </c>
      <c r="M28" s="362">
        <f t="shared" ca="1" si="47"/>
        <v>21</v>
      </c>
      <c r="N28" s="362">
        <f t="shared" ca="1" si="47"/>
        <v>20</v>
      </c>
      <c r="O28" s="362">
        <f t="shared" ca="1" si="47"/>
        <v>18</v>
      </c>
      <c r="P28" s="362">
        <f t="shared" ca="1" si="47"/>
        <v>18</v>
      </c>
      <c r="Q28" s="362">
        <f t="shared" ca="1" si="47"/>
        <v>17</v>
      </c>
      <c r="R28" s="362">
        <f t="shared" ca="1" si="47"/>
        <v>16</v>
      </c>
      <c r="S28" s="362">
        <f t="shared" ca="1" si="47"/>
        <v>15</v>
      </c>
    </row>
    <row r="31" spans="1:19" x14ac:dyDescent="0.25">
      <c r="A31" s="600" t="s">
        <v>958</v>
      </c>
      <c r="B31" s="600"/>
      <c r="D31" s="601" t="s">
        <v>826</v>
      </c>
      <c r="E31" s="600"/>
    </row>
    <row r="32" spans="1:19" x14ac:dyDescent="0.25">
      <c r="A32" s="600" t="s">
        <v>917</v>
      </c>
      <c r="B32" s="600">
        <f ca="1">INDIRECT("'" &amp; A$31 &amp; "'!" &amp; A32)</f>
        <v>0.18849744418982947</v>
      </c>
      <c r="D32" s="600" t="s">
        <v>905</v>
      </c>
      <c r="E32" s="600">
        <f t="shared" ref="E32:E66" ca="1" si="48">INDIRECT("'" &amp; $D$31 &amp; "'!" &amp; $D32)</f>
        <v>25</v>
      </c>
    </row>
    <row r="33" spans="1:5" x14ac:dyDescent="0.25">
      <c r="A33" s="600" t="s">
        <v>490</v>
      </c>
      <c r="B33" s="600">
        <f t="shared" ref="B33:B40" ca="1" si="49">INDIRECT("'" &amp; A$31 &amp; "'!" &amp; A33)</f>
        <v>235</v>
      </c>
      <c r="D33" s="600" t="s">
        <v>910</v>
      </c>
      <c r="E33" s="600">
        <f t="shared" ca="1" si="48"/>
        <v>559.41048569424561</v>
      </c>
    </row>
    <row r="34" spans="1:5" x14ac:dyDescent="0.25">
      <c r="A34" s="600" t="s">
        <v>920</v>
      </c>
      <c r="B34" s="600">
        <f t="shared" ca="1" si="49"/>
        <v>636.54997553160445</v>
      </c>
      <c r="D34" s="600" t="s">
        <v>911</v>
      </c>
      <c r="E34" s="600">
        <f t="shared" ca="1" si="48"/>
        <v>559.41048569424561</v>
      </c>
    </row>
    <row r="35" spans="1:5" x14ac:dyDescent="0.25">
      <c r="A35" s="600" t="s">
        <v>921</v>
      </c>
      <c r="B35" s="600">
        <f t="shared" ca="1" si="49"/>
        <v>49.009335489355664</v>
      </c>
      <c r="D35" s="600" t="s">
        <v>914</v>
      </c>
      <c r="E35" s="600" t="str">
        <f t="shared" ca="1" si="48"/>
        <v>Press Feed</v>
      </c>
    </row>
    <row r="36" spans="1:5" x14ac:dyDescent="0.25">
      <c r="A36" s="600" t="s">
        <v>922</v>
      </c>
      <c r="B36" s="600">
        <f t="shared" ca="1" si="49"/>
        <v>920.55931102096008</v>
      </c>
      <c r="D36" s="600" t="s">
        <v>923</v>
      </c>
      <c r="E36" s="600">
        <f t="shared" ca="1" si="48"/>
        <v>180</v>
      </c>
    </row>
    <row r="37" spans="1:5" x14ac:dyDescent="0.25">
      <c r="A37" s="600" t="s">
        <v>928</v>
      </c>
      <c r="B37" s="600">
        <f t="shared" ca="1" si="49"/>
        <v>260</v>
      </c>
      <c r="D37" s="600" t="s">
        <v>924</v>
      </c>
      <c r="E37" s="600">
        <f t="shared" ca="1" si="48"/>
        <v>240</v>
      </c>
    </row>
    <row r="38" spans="1:5" x14ac:dyDescent="0.25">
      <c r="A38" s="600" t="s">
        <v>939</v>
      </c>
      <c r="B38" s="600">
        <f t="shared" ca="1" si="49"/>
        <v>772.52169078492909</v>
      </c>
      <c r="D38" s="600" t="s">
        <v>925</v>
      </c>
      <c r="E38" s="600">
        <f t="shared" ca="1" si="48"/>
        <v>22.200108001080011</v>
      </c>
    </row>
    <row r="39" spans="1:5" x14ac:dyDescent="0.25">
      <c r="A39" s="600" t="s">
        <v>947</v>
      </c>
      <c r="B39" s="600">
        <f t="shared" ca="1" si="49"/>
        <v>0.82398977675931784</v>
      </c>
      <c r="D39" s="600" t="s">
        <v>926</v>
      </c>
      <c r="E39" s="600">
        <f t="shared" ca="1" si="48"/>
        <v>4</v>
      </c>
    </row>
    <row r="40" spans="1:5" x14ac:dyDescent="0.25">
      <c r="A40" s="600" t="s">
        <v>948</v>
      </c>
      <c r="B40" s="600">
        <f t="shared" ca="1" si="49"/>
        <v>7.4463019824806562E-2</v>
      </c>
      <c r="D40" s="600" t="s">
        <v>927</v>
      </c>
      <c r="E40" s="600">
        <f t="shared" ca="1" si="48"/>
        <v>85.527625497668495</v>
      </c>
    </row>
    <row r="41" spans="1:5" x14ac:dyDescent="0.25">
      <c r="D41" s="600" t="s">
        <v>466</v>
      </c>
      <c r="E41" s="600">
        <f t="shared" ca="1" si="48"/>
        <v>1.44514422413708</v>
      </c>
    </row>
    <row r="42" spans="1:5" x14ac:dyDescent="0.25">
      <c r="D42" s="600" t="s">
        <v>906</v>
      </c>
      <c r="E42" s="600" t="str">
        <f t="shared" ca="1" si="48"/>
        <v>HS Steel</v>
      </c>
    </row>
    <row r="43" spans="1:5" x14ac:dyDescent="0.25">
      <c r="D43" s="600" t="s">
        <v>929</v>
      </c>
      <c r="E43" s="600">
        <f t="shared" ca="1" si="48"/>
        <v>4</v>
      </c>
    </row>
    <row r="44" spans="1:5" x14ac:dyDescent="0.25">
      <c r="D44" s="600" t="s">
        <v>930</v>
      </c>
      <c r="E44" s="600">
        <f t="shared" ca="1" si="48"/>
        <v>0.26963535999999999</v>
      </c>
    </row>
    <row r="45" spans="1:5" x14ac:dyDescent="0.25">
      <c r="D45" s="600" t="s">
        <v>931</v>
      </c>
      <c r="E45" s="600" t="str">
        <f t="shared" ca="1" si="48"/>
        <v>CPRF-S8</v>
      </c>
    </row>
    <row r="46" spans="1:5" x14ac:dyDescent="0.25">
      <c r="D46" s="600" t="s">
        <v>934</v>
      </c>
      <c r="E46" s="600">
        <f t="shared" ca="1" si="48"/>
        <v>1800</v>
      </c>
    </row>
    <row r="47" spans="1:5" x14ac:dyDescent="0.25">
      <c r="D47" s="600" t="s">
        <v>935</v>
      </c>
      <c r="E47" s="600">
        <f t="shared" ca="1" si="48"/>
        <v>797</v>
      </c>
    </row>
    <row r="48" spans="1:5" x14ac:dyDescent="0.25">
      <c r="A48" s="570" t="s">
        <v>999</v>
      </c>
      <c r="B48" s="570"/>
      <c r="D48" s="600" t="s">
        <v>936</v>
      </c>
      <c r="E48" s="600">
        <f t="shared" ca="1" si="48"/>
        <v>1500</v>
      </c>
    </row>
    <row r="49" spans="1:5" x14ac:dyDescent="0.25">
      <c r="A49" s="570" t="s">
        <v>950</v>
      </c>
      <c r="B49" s="570"/>
      <c r="D49" s="600" t="s">
        <v>937</v>
      </c>
      <c r="E49" s="600">
        <f t="shared" ca="1" si="48"/>
        <v>667.13821919299414</v>
      </c>
    </row>
    <row r="50" spans="1:5" x14ac:dyDescent="0.25">
      <c r="A50" s="570" t="s">
        <v>908</v>
      </c>
      <c r="B50" s="570">
        <f t="shared" ref="B50:B59" ca="1" si="50">INDIRECT("'" &amp; $A$49 &amp; "'!" &amp; $A50)</f>
        <v>0.18849744418982947</v>
      </c>
      <c r="D50" s="600" t="s">
        <v>103</v>
      </c>
      <c r="E50" s="600">
        <f t="shared" ca="1" si="48"/>
        <v>11.111000000000001</v>
      </c>
    </row>
    <row r="51" spans="1:5" x14ac:dyDescent="0.25">
      <c r="A51" s="570" t="s">
        <v>909</v>
      </c>
      <c r="B51" s="570">
        <f t="shared" ca="1" si="50"/>
        <v>0.18849744418982947</v>
      </c>
      <c r="D51" s="600" t="s">
        <v>938</v>
      </c>
      <c r="E51" s="600">
        <f t="shared" ca="1" si="48"/>
        <v>0.38966198312712225</v>
      </c>
    </row>
    <row r="52" spans="1:5" x14ac:dyDescent="0.25">
      <c r="A52" s="570" t="s">
        <v>912</v>
      </c>
      <c r="B52" s="570">
        <f t="shared" ca="1" si="50"/>
        <v>10.659385939829363</v>
      </c>
      <c r="D52" s="600" t="s">
        <v>940</v>
      </c>
      <c r="E52" s="600">
        <f t="shared" ca="1" si="48"/>
        <v>420.91360686178393</v>
      </c>
    </row>
    <row r="53" spans="1:5" x14ac:dyDescent="0.25">
      <c r="A53" s="570" t="s">
        <v>913</v>
      </c>
      <c r="B53" s="570">
        <f t="shared" ca="1" si="50"/>
        <v>10.659385939829363</v>
      </c>
      <c r="D53" s="600" t="s">
        <v>941</v>
      </c>
      <c r="E53" s="600">
        <f t="shared" ca="1" si="48"/>
        <v>483.51424765023427</v>
      </c>
    </row>
    <row r="54" spans="1:5" x14ac:dyDescent="0.25">
      <c r="A54" s="570" t="s">
        <v>915</v>
      </c>
      <c r="B54" s="570">
        <f t="shared" ca="1" si="50"/>
        <v>0.82398977675931784</v>
      </c>
      <c r="D54" s="600" t="s">
        <v>942</v>
      </c>
      <c r="E54" s="600" t="str">
        <f t="shared" ca="1" si="48"/>
        <v>Y</v>
      </c>
    </row>
    <row r="55" spans="1:5" x14ac:dyDescent="0.25">
      <c r="A55" s="570" t="s">
        <v>916</v>
      </c>
      <c r="B55" s="570">
        <f t="shared" ca="1" si="50"/>
        <v>0.61799233256948838</v>
      </c>
      <c r="D55" s="600" t="s">
        <v>517</v>
      </c>
      <c r="E55" s="600">
        <f t="shared" ca="1" si="48"/>
        <v>1499.9999999999998</v>
      </c>
    </row>
    <row r="56" spans="1:5" x14ac:dyDescent="0.25">
      <c r="A56" s="570" t="s">
        <v>918</v>
      </c>
      <c r="B56" s="570">
        <f t="shared" ca="1" si="50"/>
        <v>0.41199488837965892</v>
      </c>
      <c r="D56" s="600" t="s">
        <v>943</v>
      </c>
      <c r="E56" s="600">
        <f t="shared" ca="1" si="48"/>
        <v>3.5000000000000003E-2</v>
      </c>
    </row>
    <row r="57" spans="1:5" x14ac:dyDescent="0.25">
      <c r="A57" s="570" t="s">
        <v>919</v>
      </c>
      <c r="B57" s="570">
        <f t="shared" ca="1" si="50"/>
        <v>0.20599744418982946</v>
      </c>
      <c r="D57" s="600" t="s">
        <v>944</v>
      </c>
      <c r="E57" s="600">
        <f t="shared" ca="1" si="48"/>
        <v>50</v>
      </c>
    </row>
    <row r="58" spans="1:5" x14ac:dyDescent="0.25">
      <c r="A58" s="570" t="s">
        <v>932</v>
      </c>
      <c r="B58" s="570">
        <f t="shared" ca="1" si="50"/>
        <v>0.41199488837965892</v>
      </c>
      <c r="D58" s="600" t="s">
        <v>945</v>
      </c>
      <c r="E58" s="600">
        <f t="shared" ca="1" si="48"/>
        <v>120</v>
      </c>
    </row>
    <row r="59" spans="1:5" x14ac:dyDescent="0.25">
      <c r="A59" s="570" t="s">
        <v>933</v>
      </c>
      <c r="B59" s="570">
        <f t="shared" ca="1" si="50"/>
        <v>0.41199488837965892</v>
      </c>
      <c r="D59" s="600" t="s">
        <v>946</v>
      </c>
      <c r="E59" s="600">
        <f t="shared" ca="1" si="48"/>
        <v>1440</v>
      </c>
    </row>
    <row r="60" spans="1:5" x14ac:dyDescent="0.25">
      <c r="D60" s="600" t="s">
        <v>949</v>
      </c>
      <c r="E60" s="600">
        <f t="shared" ca="1" si="48"/>
        <v>4.7124361047457368</v>
      </c>
    </row>
    <row r="61" spans="1:5" x14ac:dyDescent="0.25">
      <c r="D61" s="600" t="s">
        <v>907</v>
      </c>
      <c r="E61" s="600">
        <f t="shared" ca="1" si="48"/>
        <v>42</v>
      </c>
    </row>
    <row r="62" spans="1:5" x14ac:dyDescent="0.25">
      <c r="D62" s="600" t="s">
        <v>980</v>
      </c>
      <c r="E62" s="600">
        <f t="shared" ca="1" si="48"/>
        <v>16</v>
      </c>
    </row>
    <row r="63" spans="1:5" x14ac:dyDescent="0.25">
      <c r="D63" s="600" t="s">
        <v>982</v>
      </c>
      <c r="E63" s="600">
        <f t="shared" ca="1" si="48"/>
        <v>0.3</v>
      </c>
    </row>
    <row r="64" spans="1:5" x14ac:dyDescent="0.25">
      <c r="D64" s="600" t="s">
        <v>984</v>
      </c>
      <c r="E64" s="600">
        <f t="shared" ca="1" si="48"/>
        <v>48</v>
      </c>
    </row>
    <row r="65" spans="4:5" x14ac:dyDescent="0.25">
      <c r="D65" s="600" t="s">
        <v>983</v>
      </c>
      <c r="E65" s="600">
        <f t="shared" ca="1" si="48"/>
        <v>0.28299999999999997</v>
      </c>
    </row>
    <row r="66" spans="4:5" x14ac:dyDescent="0.25">
      <c r="D66" s="600" t="s">
        <v>981</v>
      </c>
      <c r="E66" s="600">
        <f t="shared" ca="1" si="48"/>
        <v>339.29200658769764</v>
      </c>
    </row>
  </sheetData>
  <sheetProtection selectLockedCells="1"/>
  <pageMargins left="0.7" right="0.7" top="0.75" bottom="0.75" header="0.3" footer="0.3"/>
  <pageSetup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E5621-2681-46C8-ADA8-2DB8E580A1B2}">
  <sheetPr codeName="Sheet24">
    <tabColor theme="1"/>
    <pageSetUpPr fitToPage="1"/>
  </sheetPr>
  <dimension ref="A1:X123"/>
  <sheetViews>
    <sheetView zoomScale="80" zoomScaleNormal="80" workbookViewId="0">
      <selection activeCell="B9" sqref="B9:C9"/>
    </sheetView>
  </sheetViews>
  <sheetFormatPr defaultRowHeight="15" x14ac:dyDescent="0.25"/>
  <cols>
    <col min="1" max="1" width="24.140625" customWidth="1"/>
    <col min="2" max="2" width="9.7109375" customWidth="1"/>
    <col min="3" max="3" width="9.5703125" customWidth="1"/>
    <col min="4" max="4" width="20.42578125" customWidth="1"/>
    <col min="5" max="5" width="7.85546875" customWidth="1"/>
    <col min="6" max="6" width="11.42578125" customWidth="1"/>
    <col min="7" max="7" width="12.85546875" customWidth="1"/>
    <col min="9" max="9" width="9.5703125" style="201" customWidth="1"/>
    <col min="12" max="12" width="12.7109375" customWidth="1"/>
    <col min="13" max="14" width="12.7109375" hidden="1" customWidth="1"/>
    <col min="15" max="15" width="20.7109375" customWidth="1"/>
    <col min="16" max="16" width="17.140625" customWidth="1"/>
    <col min="17" max="17" width="12.7109375" hidden="1" customWidth="1"/>
    <col min="18" max="18" width="20.85546875" customWidth="1"/>
    <col min="19" max="19" width="16.7109375" customWidth="1"/>
    <col min="20" max="20" width="12.7109375" hidden="1" customWidth="1"/>
  </cols>
  <sheetData>
    <row r="1" spans="1:20" ht="21.75" thickBot="1" x14ac:dyDescent="0.4">
      <c r="B1" s="364" t="s">
        <v>0</v>
      </c>
      <c r="C1" s="364"/>
      <c r="D1" s="364"/>
      <c r="E1" s="364"/>
      <c r="F1" s="364"/>
      <c r="L1" s="2"/>
      <c r="M1" s="1005" t="s">
        <v>432</v>
      </c>
      <c r="N1" s="1006"/>
      <c r="O1" s="2" t="s">
        <v>1053</v>
      </c>
      <c r="P1" s="2"/>
      <c r="Q1" s="202"/>
      <c r="R1" s="2" t="s">
        <v>1053</v>
      </c>
      <c r="S1" s="2"/>
      <c r="T1" s="202"/>
    </row>
    <row r="2" spans="1:20" ht="17.45" customHeight="1" x14ac:dyDescent="0.25">
      <c r="D2" s="64" t="s">
        <v>636</v>
      </c>
      <c r="L2" s="457" t="s">
        <v>256</v>
      </c>
      <c r="M2" s="203" t="s">
        <v>434</v>
      </c>
      <c r="N2" s="203" t="s">
        <v>435</v>
      </c>
      <c r="O2" s="203" t="str">
        <f>IF(application="Cut to Length", "Blanks/Min (" &amp; $E$19 &amp; " " &amp; $F$19 &amp; ")","SPM @ " &amp; $E$19 &amp; " " &amp; $F$19)</f>
        <v>SPM @ 180 Deg.</v>
      </c>
      <c r="P2" s="203" t="s">
        <v>1112</v>
      </c>
      <c r="Q2" s="203" t="s">
        <v>637</v>
      </c>
      <c r="R2" s="203" t="str">
        <f>IF(application="Cut to Length", "Blanks/Min (" &amp; $E$20 &amp; " " &amp; $F$20 &amp; ")","SPM @ " &amp; $E$20 &amp; " " &amp; $F$20)</f>
        <v>SPM @ 240 Deg.</v>
      </c>
      <c r="S2" s="204" t="s">
        <v>1112</v>
      </c>
      <c r="T2" s="617" t="s">
        <v>637</v>
      </c>
    </row>
    <row r="3" spans="1:20" ht="17.45" customHeight="1" x14ac:dyDescent="0.25">
      <c r="E3" s="64"/>
      <c r="L3" s="613" t="e">
        <f ca="1">INDIRECT("'" &amp; $A$101 &amp; "'!B3")</f>
        <v>#N/A</v>
      </c>
      <c r="M3" s="53" t="e">
        <f ca="1">INDIRECT("'" &amp; $A$101 &amp; "'!B4")</f>
        <v>#N/A</v>
      </c>
      <c r="N3" s="53" t="e">
        <f ca="1">INDIRECT("'" &amp; $A$101 &amp; "'!L4")</f>
        <v>#N/A</v>
      </c>
      <c r="O3" s="53" t="e">
        <f ca="1">INDIRECT("'" &amp; $A$101 &amp; "'!B10")</f>
        <v>#N/A</v>
      </c>
      <c r="P3" s="53" t="e">
        <f ca="1">($L3*$O3)/12</f>
        <v>#N/A</v>
      </c>
      <c r="Q3" s="55" t="e">
        <f ca="1">INDIRECT("'" &amp; $A$101 &amp; "'!B8")</f>
        <v>#N/A</v>
      </c>
      <c r="R3" s="53" t="e">
        <f ca="1">INDIRECT("'" &amp; $A$101 &amp; "'!L10")</f>
        <v>#N/A</v>
      </c>
      <c r="S3" s="619" t="e">
        <f ca="1">($L3*$R3)/12</f>
        <v>#N/A</v>
      </c>
      <c r="T3" s="580" t="e">
        <f ca="1">INDIRECT("'" &amp; $A$101 &amp; "'!L8")</f>
        <v>#N/A</v>
      </c>
    </row>
    <row r="4" spans="1:20" ht="17.45" customHeight="1" x14ac:dyDescent="0.25">
      <c r="A4" s="1" t="s">
        <v>1</v>
      </c>
      <c r="B4" s="1004" t="str">
        <f>Customer</f>
        <v>ULTRATECH TOOL&amp; DESIGN, INC.</v>
      </c>
      <c r="C4" s="940"/>
      <c r="D4" s="941"/>
      <c r="E4" s="64"/>
      <c r="L4" s="208">
        <f ca="1">INDIRECT("'" &amp; $A$101 &amp; "'!C3")</f>
        <v>4</v>
      </c>
      <c r="M4" s="53" t="e">
        <f ca="1">INDIRECT("'" &amp; $A$101 &amp; "'!C4")</f>
        <v>#N/A</v>
      </c>
      <c r="N4" s="53" t="e">
        <f ca="1">INDIRECT("'" &amp; $A$101 &amp; "'!M4")</f>
        <v>#N/A</v>
      </c>
      <c r="O4" s="53" t="e">
        <f ca="1">INDIRECT("'" &amp; $A$101 &amp; "'!C10")</f>
        <v>#N/A</v>
      </c>
      <c r="P4" s="53" t="e">
        <f t="shared" ref="P4:P26" ca="1" si="0">($L4*$O4)/12</f>
        <v>#N/A</v>
      </c>
      <c r="Q4" s="55" t="e">
        <f ca="1">INDIRECT("'" &amp; $A$101 &amp; "'!C8")</f>
        <v>#N/A</v>
      </c>
      <c r="R4" s="53" t="e">
        <f ca="1">INDIRECT("'" &amp; $A$101 &amp; "'!M10")</f>
        <v>#N/A</v>
      </c>
      <c r="S4" s="619" t="e">
        <f t="shared" ref="S4:S26" ca="1" si="1">($L4*$R4)/12</f>
        <v>#N/A</v>
      </c>
      <c r="T4" s="580" t="e">
        <f ca="1">INDIRECT("'" &amp; $A$101 &amp; "'!M8")</f>
        <v>#N/A</v>
      </c>
    </row>
    <row r="5" spans="1:20" ht="17.45" customHeight="1" x14ac:dyDescent="0.25">
      <c r="A5" s="1" t="s">
        <v>2</v>
      </c>
      <c r="B5" s="939">
        <f>CalcDate</f>
        <v>0</v>
      </c>
      <c r="C5" s="940"/>
      <c r="D5" s="941"/>
      <c r="L5" s="208">
        <f ca="1">INDIRECT("'" &amp; $A$101 &amp; "'!D3")</f>
        <v>8</v>
      </c>
      <c r="M5" s="53" t="e">
        <f ca="1">INDIRECT("'" &amp; $A$101 &amp; "'!D4")</f>
        <v>#N/A</v>
      </c>
      <c r="N5" s="53" t="e">
        <f ca="1">INDIRECT("'" &amp; $A$101 &amp; "'!N4")</f>
        <v>#N/A</v>
      </c>
      <c r="O5" s="53" t="e">
        <f ca="1">INDIRECT("'" &amp; $A$101 &amp; "'!D10")</f>
        <v>#N/A</v>
      </c>
      <c r="P5" s="53" t="e">
        <f t="shared" ca="1" si="0"/>
        <v>#N/A</v>
      </c>
      <c r="Q5" s="55" t="e">
        <f ca="1">INDIRECT("'" &amp; $A$101 &amp; "'!D8")</f>
        <v>#N/A</v>
      </c>
      <c r="R5" s="53" t="e">
        <f ca="1">INDIRECT("'" &amp; $A$101 &amp; "'!N10")</f>
        <v>#N/A</v>
      </c>
      <c r="S5" s="619" t="e">
        <f t="shared" ca="1" si="1"/>
        <v>#N/A</v>
      </c>
      <c r="T5" s="580" t="e">
        <f ca="1">INDIRECT("'" &amp; $A$101 &amp; "'!N8")</f>
        <v>#N/A</v>
      </c>
    </row>
    <row r="6" spans="1:20" ht="17.45" customHeight="1" x14ac:dyDescent="0.25">
      <c r="A6" s="1" t="s">
        <v>131</v>
      </c>
      <c r="B6" s="1004">
        <f>Reference</f>
        <v>0</v>
      </c>
      <c r="C6" s="940"/>
      <c r="D6" s="941"/>
      <c r="L6" s="208">
        <f ca="1">INDIRECT("'" &amp; $A$101 &amp; "'!E3")</f>
        <v>12</v>
      </c>
      <c r="M6" s="53" t="e">
        <f ca="1">INDIRECT("'" &amp; $A$101 &amp; "'!E4")</f>
        <v>#N/A</v>
      </c>
      <c r="N6" s="53" t="e">
        <f ca="1">INDIRECT("'" &amp; $A$101 &amp; "'!O4")</f>
        <v>#N/A</v>
      </c>
      <c r="O6" s="53" t="e">
        <f ca="1">INDIRECT("'" &amp; $A$101 &amp; "'!E10")</f>
        <v>#N/A</v>
      </c>
      <c r="P6" s="53" t="e">
        <f t="shared" ca="1" si="0"/>
        <v>#N/A</v>
      </c>
      <c r="Q6" s="55" t="e">
        <f ca="1">INDIRECT("'" &amp; $A$101 &amp; "'!E8")</f>
        <v>#N/A</v>
      </c>
      <c r="R6" s="53" t="e">
        <f ca="1">INDIRECT("'" &amp; $A$101 &amp; "'!O10")</f>
        <v>#N/A</v>
      </c>
      <c r="S6" s="619" t="e">
        <f t="shared" ca="1" si="1"/>
        <v>#N/A</v>
      </c>
      <c r="T6" s="580" t="e">
        <f ca="1">INDIRECT("'" &amp; $A$101 &amp; "'!O8")</f>
        <v>#N/A</v>
      </c>
    </row>
    <row r="7" spans="1:20" ht="17.45" customHeight="1" x14ac:dyDescent="0.25">
      <c r="L7" s="208">
        <f ca="1">INDIRECT("'" &amp; $A$101 &amp; "'!F3")</f>
        <v>16</v>
      </c>
      <c r="M7" s="53" t="e">
        <f ca="1">INDIRECT("'" &amp; $A$101 &amp; "'!F4")</f>
        <v>#N/A</v>
      </c>
      <c r="N7" s="53" t="e">
        <f ca="1">INDIRECT("'" &amp; $A$101 &amp; "'!P4")</f>
        <v>#N/A</v>
      </c>
      <c r="O7" s="53" t="e">
        <f ca="1">INDIRECT("'" &amp; $A$101 &amp; "'!F10")</f>
        <v>#N/A</v>
      </c>
      <c r="P7" s="53" t="e">
        <f t="shared" ca="1" si="0"/>
        <v>#N/A</v>
      </c>
      <c r="Q7" s="55" t="e">
        <f ca="1">INDIRECT("'" &amp; $A$101 &amp; "'!F8")</f>
        <v>#N/A</v>
      </c>
      <c r="R7" s="53" t="e">
        <f ca="1">INDIRECT("'" &amp; $A$101 &amp; "'!P10")</f>
        <v>#N/A</v>
      </c>
      <c r="S7" s="619" t="e">
        <f t="shared" ca="1" si="1"/>
        <v>#N/A</v>
      </c>
      <c r="T7" s="580" t="e">
        <f ca="1">INDIRECT("'" &amp; $A$101 &amp; "'!P8")</f>
        <v>#N/A</v>
      </c>
    </row>
    <row r="8" spans="1:20" ht="17.45" customHeight="1" x14ac:dyDescent="0.25">
      <c r="A8" s="18" t="s">
        <v>438</v>
      </c>
      <c r="B8" s="29" t="str">
        <f>SelectedApplication</f>
        <v>Press Feed</v>
      </c>
      <c r="L8" s="208">
        <f ca="1">INDIRECT("'" &amp; $A$101 &amp; "'!G3")</f>
        <v>20</v>
      </c>
      <c r="M8" s="53" t="e">
        <f ca="1">INDIRECT("'" &amp; $A$101 &amp; "'!G4")</f>
        <v>#N/A</v>
      </c>
      <c r="N8" s="53" t="e">
        <f ca="1">INDIRECT("'" &amp; $A$101 &amp; "'!Q4")</f>
        <v>#N/A</v>
      </c>
      <c r="O8" s="53" t="e">
        <f ca="1">INDIRECT("'" &amp; $A$101 &amp; "'!G10")</f>
        <v>#N/A</v>
      </c>
      <c r="P8" s="53" t="e">
        <f t="shared" ca="1" si="0"/>
        <v>#N/A</v>
      </c>
      <c r="Q8" s="55" t="e">
        <f ca="1">INDIRECT("'" &amp; $A$101 &amp; "'!G8")</f>
        <v>#N/A</v>
      </c>
      <c r="R8" s="53" t="e">
        <f ca="1">INDIRECT("'" &amp; $A$101 &amp; "'!Q10")</f>
        <v>#N/A</v>
      </c>
      <c r="S8" s="619" t="e">
        <f t="shared" ca="1" si="1"/>
        <v>#N/A</v>
      </c>
      <c r="T8" s="580" t="e">
        <f ca="1">INDIRECT("'" &amp; $A$101 &amp; "'!Q8")</f>
        <v>#N/A</v>
      </c>
    </row>
    <row r="9" spans="1:20" ht="17.45" customHeight="1" x14ac:dyDescent="0.25">
      <c r="A9" s="18" t="s">
        <v>160</v>
      </c>
      <c r="B9" s="1042"/>
      <c r="C9" s="1043"/>
      <c r="F9" s="210" t="s">
        <v>441</v>
      </c>
      <c r="G9" s="211" t="e">
        <f>VLOOKUP(model,LookupSigma5FeedPT,14,FALSE)</f>
        <v>#N/A</v>
      </c>
      <c r="L9" s="208">
        <f ca="1">INDIRECT("'" &amp; $A$101 &amp; "'!H3")</f>
        <v>24</v>
      </c>
      <c r="M9" s="53" t="e">
        <f ca="1">INDIRECT("'" &amp; $A$101 &amp; "'!H4")</f>
        <v>#N/A</v>
      </c>
      <c r="N9" s="53" t="e">
        <f ca="1">INDIRECT("'" &amp; $A$101 &amp; "'!R4")</f>
        <v>#N/A</v>
      </c>
      <c r="O9" s="53" t="e">
        <f ca="1">INDIRECT("'" &amp; $A$101 &amp; "'!H10")</f>
        <v>#N/A</v>
      </c>
      <c r="P9" s="53" t="e">
        <f t="shared" ca="1" si="0"/>
        <v>#N/A</v>
      </c>
      <c r="Q9" s="55" t="e">
        <f ca="1">INDIRECT("'" &amp; $A$101 &amp; "'!H8")</f>
        <v>#N/A</v>
      </c>
      <c r="R9" s="53" t="e">
        <f ca="1">INDIRECT("'" &amp; $A$101 &amp; "'!R10")</f>
        <v>#N/A</v>
      </c>
      <c r="S9" s="619" t="e">
        <f t="shared" ca="1" si="1"/>
        <v>#N/A</v>
      </c>
      <c r="T9" s="580" t="e">
        <f ca="1">INDIRECT("'" &amp; $A$101 &amp; "'!R8")</f>
        <v>#N/A</v>
      </c>
    </row>
    <row r="10" spans="1:20" ht="17.45" customHeight="1" x14ac:dyDescent="0.25">
      <c r="A10" s="18" t="s">
        <v>442</v>
      </c>
      <c r="B10" s="693"/>
      <c r="F10" s="210" t="s">
        <v>443</v>
      </c>
      <c r="G10" s="211" t="e">
        <f>VLOOKUP(model,LookupSigma5FeedPT,15,FALSE)</f>
        <v>#N/A</v>
      </c>
      <c r="L10" s="208">
        <f ca="1">INDIRECT("'" &amp; $A$101 &amp; "'!I3")</f>
        <v>28</v>
      </c>
      <c r="M10" s="53" t="e">
        <f ca="1">INDIRECT("'" &amp; $A$101 &amp; "'!I4")</f>
        <v>#N/A</v>
      </c>
      <c r="N10" s="53" t="e">
        <f ca="1">INDIRECT("'" &amp; $A$101 &amp; "'!S4")</f>
        <v>#N/A</v>
      </c>
      <c r="O10" s="53" t="e">
        <f ca="1">INDIRECT("'" &amp; $A$101 &amp; "'!I10")</f>
        <v>#N/A</v>
      </c>
      <c r="P10" s="53" t="e">
        <f t="shared" ca="1" si="0"/>
        <v>#N/A</v>
      </c>
      <c r="Q10" s="55" t="e">
        <f ca="1">INDIRECT("'" &amp; $A$101 &amp; "'!I8")</f>
        <v>#N/A</v>
      </c>
      <c r="R10" s="53" t="e">
        <f ca="1">INDIRECT("'" &amp; $A$101 &amp; "'!S10")</f>
        <v>#N/A</v>
      </c>
      <c r="S10" s="619" t="e">
        <f t="shared" ca="1" si="1"/>
        <v>#N/A</v>
      </c>
      <c r="T10" s="580" t="e">
        <f ca="1">INDIRECT("'" &amp; $A$101 &amp; "'!S8")</f>
        <v>#N/A</v>
      </c>
    </row>
    <row r="11" spans="1:20" ht="17.45" customHeight="1" x14ac:dyDescent="0.25">
      <c r="A11" s="365" t="s">
        <v>444</v>
      </c>
      <c r="B11" s="698" t="s">
        <v>516</v>
      </c>
      <c r="L11" s="208">
        <f ca="1">INDIRECT("'" &amp; $A$101 &amp; "'!B12")</f>
        <v>32</v>
      </c>
      <c r="M11" s="53" t="e">
        <f ca="1">INDIRECT("'" &amp; $A$101 &amp; "'!B13")</f>
        <v>#N/A</v>
      </c>
      <c r="N11" s="53" t="e">
        <f ca="1">INDIRECT("'" &amp; $A$101 &amp; "'!L13")</f>
        <v>#N/A</v>
      </c>
      <c r="O11" s="53" t="e">
        <f ca="1">INDIRECT("'" &amp; $A$101 &amp; "'!B19")</f>
        <v>#N/A</v>
      </c>
      <c r="P11" s="53" t="e">
        <f t="shared" ca="1" si="0"/>
        <v>#N/A</v>
      </c>
      <c r="Q11" s="55" t="e">
        <f ca="1">INDIRECT("'" &amp; $A$101 &amp; "'!B17")</f>
        <v>#N/A</v>
      </c>
      <c r="R11" s="53" t="e">
        <f ca="1">INDIRECT("'" &amp; $A$101 &amp; "'!L19")</f>
        <v>#N/A</v>
      </c>
      <c r="S11" s="619" t="e">
        <f t="shared" ca="1" si="1"/>
        <v>#N/A</v>
      </c>
      <c r="T11" s="580" t="e">
        <f ca="1">INDIRECT("'" &amp; $A$101 &amp; "'!L17")</f>
        <v>#N/A</v>
      </c>
    </row>
    <row r="12" spans="1:20" ht="17.45" customHeight="1" x14ac:dyDescent="0.25">
      <c r="A12" s="365" t="s">
        <v>446</v>
      </c>
      <c r="B12" s="698" t="s">
        <v>445</v>
      </c>
      <c r="D12" s="220" t="s">
        <v>638</v>
      </c>
      <c r="E12" s="701">
        <f>'Reel Drive'!SPEED</f>
        <v>42</v>
      </c>
      <c r="F12" s="212" t="s">
        <v>452</v>
      </c>
      <c r="G12" s="458" t="s">
        <v>63</v>
      </c>
      <c r="H12" s="904" t="str">
        <f>Material_1</f>
        <v>HS Steel</v>
      </c>
      <c r="I12" s="904"/>
      <c r="L12" s="208">
        <f ca="1">INDIRECT("'" &amp; $A$101 &amp; "'!C12")</f>
        <v>36</v>
      </c>
      <c r="M12" s="53" t="e">
        <f ca="1">INDIRECT("'" &amp; $A$101 &amp; "'!C13")</f>
        <v>#N/A</v>
      </c>
      <c r="N12" s="53" t="e">
        <f ca="1">INDIRECT("'" &amp; $A$101 &amp; "'!M13")</f>
        <v>#N/A</v>
      </c>
      <c r="O12" s="53" t="e">
        <f ca="1">INDIRECT("'" &amp; $A$101 &amp; "'!C19")</f>
        <v>#N/A</v>
      </c>
      <c r="P12" s="53" t="e">
        <f t="shared" ca="1" si="0"/>
        <v>#N/A</v>
      </c>
      <c r="Q12" s="55" t="e">
        <f ca="1">INDIRECT("'" &amp; $A$101 &amp; "'!C17")</f>
        <v>#N/A</v>
      </c>
      <c r="R12" s="53" t="e">
        <f ca="1">INDIRECT("'" &amp; $A$101 &amp; "'!M19")</f>
        <v>#N/A</v>
      </c>
      <c r="S12" s="619" t="e">
        <f t="shared" ca="1" si="1"/>
        <v>#N/A</v>
      </c>
      <c r="T12" s="580" t="e">
        <f ca="1">INDIRECT("'" &amp; $A$101 &amp; "'!M17")</f>
        <v>#N/A</v>
      </c>
    </row>
    <row r="13" spans="1:20" ht="17.45" customHeight="1" x14ac:dyDescent="0.25">
      <c r="L13" s="208">
        <f ca="1">INDIRECT("'" &amp; $A$101 &amp; "'!D12")</f>
        <v>40</v>
      </c>
      <c r="M13" s="53" t="e">
        <f ca="1">INDIRECT("'" &amp; $A$101 &amp; "'!D13")</f>
        <v>#N/A</v>
      </c>
      <c r="N13" s="53" t="e">
        <f ca="1">INDIRECT("'" &amp; $A$101 &amp; "'!N13")</f>
        <v>#N/A</v>
      </c>
      <c r="O13" s="53" t="e">
        <f ca="1">INDIRECT("'" &amp; $A$101 &amp; "'!D19")</f>
        <v>#N/A</v>
      </c>
      <c r="P13" s="53" t="e">
        <f t="shared" ca="1" si="0"/>
        <v>#N/A</v>
      </c>
      <c r="Q13" s="55" t="e">
        <f ca="1">INDIRECT("'" &amp; $A$101 &amp; "'!D17")</f>
        <v>#N/A</v>
      </c>
      <c r="R13" s="53" t="e">
        <f ca="1">INDIRECT("'" &amp; $A$101 &amp; "'!N19")</f>
        <v>#N/A</v>
      </c>
      <c r="S13" s="619" t="e">
        <f t="shared" ca="1" si="1"/>
        <v>#N/A</v>
      </c>
      <c r="T13" s="580" t="e">
        <f ca="1">INDIRECT("'" &amp; $A$101 &amp; "'!N17")</f>
        <v>#N/A</v>
      </c>
    </row>
    <row r="14" spans="1:20" ht="17.45" customHeight="1" x14ac:dyDescent="0.25">
      <c r="A14" s="1040" t="s">
        <v>63</v>
      </c>
      <c r="B14" s="50" t="s">
        <v>447</v>
      </c>
      <c r="C14" s="50" t="s">
        <v>448</v>
      </c>
      <c r="D14" s="702" t="str">
        <f>IF(application="Press Feed","Max. Press Bed Length", IF(application="Cut to Length", "Maximum Blank Length","Ln. FLT"))</f>
        <v>Max. Press Bed Length</v>
      </c>
      <c r="E14" s="50" t="s">
        <v>449</v>
      </c>
      <c r="F14" s="50" t="s">
        <v>639</v>
      </c>
      <c r="G14" s="50" t="s">
        <v>640</v>
      </c>
      <c r="H14" s="50" t="s">
        <v>195</v>
      </c>
      <c r="I14" s="50" t="s">
        <v>641</v>
      </c>
      <c r="L14" s="208">
        <f ca="1">INDIRECT("'" &amp; $A$101 &amp; "'!E12")</f>
        <v>44</v>
      </c>
      <c r="M14" s="53" t="e">
        <f ca="1">INDIRECT("'" &amp; $A$101 &amp; "'!E13")</f>
        <v>#N/A</v>
      </c>
      <c r="N14" s="53" t="e">
        <f ca="1">INDIRECT("'" &amp; $A$101 &amp; "'!O13")</f>
        <v>#N/A</v>
      </c>
      <c r="O14" s="53" t="e">
        <f ca="1">INDIRECT("'" &amp; $A$101 &amp; "'!E19")</f>
        <v>#N/A</v>
      </c>
      <c r="P14" s="53" t="e">
        <f t="shared" ca="1" si="0"/>
        <v>#N/A</v>
      </c>
      <c r="Q14" s="55" t="e">
        <f ca="1">INDIRECT("'" &amp; $A$101 &amp; "'!E17")</f>
        <v>#N/A</v>
      </c>
      <c r="R14" s="53" t="e">
        <f ca="1">INDIRECT("'" &amp; $A$101 &amp; "'!O19")</f>
        <v>#N/A</v>
      </c>
      <c r="S14" s="619" t="e">
        <f t="shared" ca="1" si="1"/>
        <v>#N/A</v>
      </c>
      <c r="T14" s="580" t="e">
        <f ca="1">INDIRECT("'" &amp; $A$101 &amp; "'!O17")</f>
        <v>#N/A</v>
      </c>
    </row>
    <row r="15" spans="1:20" ht="17.45" customHeight="1" x14ac:dyDescent="0.25">
      <c r="A15" s="1041"/>
      <c r="B15" s="582">
        <f>CoilWidth_1</f>
        <v>18</v>
      </c>
      <c r="C15" s="597">
        <f>Thickness_1</f>
        <v>0.25</v>
      </c>
      <c r="D15" s="215">
        <v>24</v>
      </c>
      <c r="E15" s="582">
        <f>VLOOKUP(material,LookupMaterial,4,FALSE)</f>
        <v>0.28299999999999997</v>
      </c>
      <c r="F15" s="366">
        <f>IF(B11="Y",C15*360*PI()*2,C15*360*PI())</f>
        <v>282.74333882308139</v>
      </c>
      <c r="G15" s="367" t="e">
        <f>VLOOKUP(model,LookupSigma5FeedPT,16,FALSE)</f>
        <v>#N/A</v>
      </c>
      <c r="H15" s="700">
        <f>YieldStrength_1</f>
        <v>100000</v>
      </c>
      <c r="I15" s="368">
        <f>IF(S_ROLL=5,S_ROLL/3.5+0.1,IF(S_ROLL=7,S_ROLL/3.5,IF(S_ROLL=9,(S_ROLL/3.5)-0.1,3)))</f>
        <v>1.5285714285714287</v>
      </c>
      <c r="L15" s="208">
        <f ca="1">INDIRECT("'" &amp; $A$101 &amp; "'!F12")</f>
        <v>48</v>
      </c>
      <c r="M15" s="53" t="e">
        <f ca="1">INDIRECT("'" &amp; $A$101 &amp; "'!F13")</f>
        <v>#N/A</v>
      </c>
      <c r="N15" s="53" t="e">
        <f ca="1">INDIRECT("'" &amp; $A$101 &amp; "'!P13")</f>
        <v>#N/A</v>
      </c>
      <c r="O15" s="53" t="e">
        <f ca="1">INDIRECT("'" &amp; $A$101 &amp; "'!F19")</f>
        <v>#N/A</v>
      </c>
      <c r="P15" s="53" t="e">
        <f t="shared" ca="1" si="0"/>
        <v>#N/A</v>
      </c>
      <c r="Q15" s="55" t="e">
        <f ca="1">INDIRECT("'" &amp; $A$101 &amp; "'!F17")</f>
        <v>#N/A</v>
      </c>
      <c r="R15" s="53" t="e">
        <f ca="1">INDIRECT("'" &amp; $A$101 &amp; "'!P19")</f>
        <v>#N/A</v>
      </c>
      <c r="S15" s="619" t="e">
        <f t="shared" ca="1" si="1"/>
        <v>#N/A</v>
      </c>
      <c r="T15" s="580" t="e">
        <f ca="1">INDIRECT("'" &amp; $A$101 &amp; "'!P17")</f>
        <v>#N/A</v>
      </c>
    </row>
    <row r="16" spans="1:20" ht="17.45" customHeight="1" x14ac:dyDescent="0.25">
      <c r="L16" s="208">
        <f ca="1">INDIRECT("'" &amp; $A$101 &amp; "'!G12")</f>
        <v>52</v>
      </c>
      <c r="M16" s="53" t="e">
        <f ca="1">INDIRECT("'" &amp; $A$101 &amp; "'!G13")</f>
        <v>#N/A</v>
      </c>
      <c r="N16" s="53" t="e">
        <f ca="1">INDIRECT("'" &amp; $A$101 &amp; "'!Q13")</f>
        <v>#N/A</v>
      </c>
      <c r="O16" s="53" t="e">
        <f ca="1">INDIRECT("'" &amp; $A$101 &amp; "'!G19")</f>
        <v>#N/A</v>
      </c>
      <c r="P16" s="53" t="e">
        <f t="shared" ca="1" si="0"/>
        <v>#N/A</v>
      </c>
      <c r="Q16" s="55" t="e">
        <f ca="1">INDIRECT("'" &amp; $A$101 &amp; "'!G17")</f>
        <v>#N/A</v>
      </c>
      <c r="R16" s="53" t="e">
        <f ca="1">INDIRECT("'" &amp; $A$101 &amp; "'!Q19")</f>
        <v>#N/A</v>
      </c>
      <c r="S16" s="619" t="e">
        <f t="shared" ca="1" si="1"/>
        <v>#N/A</v>
      </c>
      <c r="T16" s="580" t="e">
        <f ca="1">INDIRECT("'" &amp; $A$101 &amp; "'!Q17")</f>
        <v>#N/A</v>
      </c>
    </row>
    <row r="17" spans="1:20" ht="17.45" customHeight="1" x14ac:dyDescent="0.25">
      <c r="A17" s="220" t="s">
        <v>1076</v>
      </c>
      <c r="B17" s="213">
        <v>5</v>
      </c>
      <c r="D17" s="703" t="s">
        <v>453</v>
      </c>
      <c r="E17" s="213">
        <v>4</v>
      </c>
      <c r="F17" s="212" t="s">
        <v>336</v>
      </c>
      <c r="L17" s="208">
        <f ca="1">INDIRECT("'" &amp; $A$101 &amp; "'!H12")</f>
        <v>56</v>
      </c>
      <c r="M17" s="53" t="e">
        <f ca="1">INDIRECT("'" &amp; $A$101 &amp; "'!H13")</f>
        <v>#N/A</v>
      </c>
      <c r="N17" s="53" t="e">
        <f ca="1">INDIRECT("'" &amp; $A$101 &amp; "'!R13")</f>
        <v>#N/A</v>
      </c>
      <c r="O17" s="53" t="e">
        <f ca="1">INDIRECT("'" &amp; $A$101 &amp; "'!H19")</f>
        <v>#N/A</v>
      </c>
      <c r="P17" s="53" t="e">
        <f t="shared" ca="1" si="0"/>
        <v>#N/A</v>
      </c>
      <c r="Q17" s="55" t="e">
        <f ca="1">INDIRECT("'" &amp; $A$101 &amp; "'!H17")</f>
        <v>#N/A</v>
      </c>
      <c r="R17" s="53" t="e">
        <f ca="1">INDIRECT("'" &amp; $A$101 &amp; "'!R19")</f>
        <v>#N/A</v>
      </c>
      <c r="S17" s="619" t="e">
        <f t="shared" ca="1" si="1"/>
        <v>#N/A</v>
      </c>
      <c r="T17" s="580" t="e">
        <f ca="1">INDIRECT("'" &amp; $A$101 &amp; "'!R17")</f>
        <v>#N/A</v>
      </c>
    </row>
    <row r="18" spans="1:20" ht="17.45" customHeight="1" x14ac:dyDescent="0.25">
      <c r="A18" s="220" t="s">
        <v>1389</v>
      </c>
      <c r="B18" s="213">
        <f>IF($O$85="yes (2)", 2, IF($O$85="no (0)", 0, FALSE))</f>
        <v>2</v>
      </c>
      <c r="D18" s="220" t="s">
        <v>455</v>
      </c>
      <c r="E18" s="213">
        <v>4</v>
      </c>
      <c r="F18" s="212" t="s">
        <v>336</v>
      </c>
      <c r="G18" s="5" t="s">
        <v>460</v>
      </c>
      <c r="H18" s="48" t="e">
        <f>VLOOKUP(model,LookupInertia,2,FALSE)</f>
        <v>#N/A</v>
      </c>
      <c r="I18" s="369" t="s">
        <v>461</v>
      </c>
      <c r="L18" s="208">
        <f ca="1">INDIRECT("'" &amp; $A$101 &amp; "'!I12")</f>
        <v>60</v>
      </c>
      <c r="M18" s="53" t="e">
        <f ca="1">INDIRECT("'" &amp; $A$101 &amp; "'!I13")</f>
        <v>#N/A</v>
      </c>
      <c r="N18" s="53" t="e">
        <f ca="1">INDIRECT("'" &amp; $A$101 &amp; "'!S13")</f>
        <v>#N/A</v>
      </c>
      <c r="O18" s="53" t="e">
        <f ca="1">INDIRECT("'" &amp; $A$101 &amp; "'!I19")</f>
        <v>#N/A</v>
      </c>
      <c r="P18" s="53" t="e">
        <f t="shared" ca="1" si="0"/>
        <v>#N/A</v>
      </c>
      <c r="Q18" s="55" t="e">
        <f ca="1">INDIRECT("'" &amp; $A$101 &amp; "'!I17")</f>
        <v>#N/A</v>
      </c>
      <c r="R18" s="53" t="e">
        <f ca="1">INDIRECT("'" &amp; $A$101 &amp; "'!S19")</f>
        <v>#N/A</v>
      </c>
      <c r="S18" s="619" t="e">
        <f t="shared" ca="1" si="1"/>
        <v>#N/A</v>
      </c>
      <c r="T18" s="580" t="e">
        <f ca="1">INDIRECT("'" &amp; $A$101 &amp; "'!S17")</f>
        <v>#N/A</v>
      </c>
    </row>
    <row r="19" spans="1:20" ht="17.45" customHeight="1" x14ac:dyDescent="0.25">
      <c r="A19" s="220" t="s">
        <v>456</v>
      </c>
      <c r="B19" s="213">
        <v>80</v>
      </c>
      <c r="C19" s="212" t="s">
        <v>457</v>
      </c>
      <c r="D19" s="459" t="str">
        <f>IF(application="Cut to Length","Shear Cyc Tim 1", "Feed Angle 1")</f>
        <v>Feed Angle 1</v>
      </c>
      <c r="E19" s="460">
        <v>180</v>
      </c>
      <c r="F19" s="212" t="str">
        <f>IF(application="Cut to Length","Sec.", "Deg.")</f>
        <v>Deg.</v>
      </c>
      <c r="G19" s="5" t="s">
        <v>466</v>
      </c>
      <c r="H19" s="370" t="e">
        <f>reflin/MINT</f>
        <v>#N/A</v>
      </c>
      <c r="I19" s="2" t="e">
        <f>IF(MATCH&gt;12,"EXCESS",IF(AND(MATCH&gt;=10,MATCH&lt;12), "CAUTION","OK"))</f>
        <v>#N/A</v>
      </c>
      <c r="L19" s="208">
        <f ca="1">INDIRECT("'" &amp; $A$101 &amp; "'!B21")</f>
        <v>64</v>
      </c>
      <c r="M19" s="53" t="e">
        <f ca="1">INDIRECT("'" &amp; $A$101 &amp; "'!B22")</f>
        <v>#N/A</v>
      </c>
      <c r="N19" s="53" t="e">
        <f ca="1">INDIRECT("'" &amp; $A$101 &amp; "'!L22")</f>
        <v>#N/A</v>
      </c>
      <c r="O19" s="53" t="e">
        <f ca="1">INDIRECT("'" &amp; $A$101 &amp; "'!B28")</f>
        <v>#N/A</v>
      </c>
      <c r="P19" s="53" t="e">
        <f t="shared" ca="1" si="0"/>
        <v>#N/A</v>
      </c>
      <c r="Q19" s="55" t="e">
        <f ca="1">INDIRECT("'" &amp; $A$101 &amp; "'!B26")</f>
        <v>#N/A</v>
      </c>
      <c r="R19" s="53" t="e">
        <f ca="1">INDIRECT("'" &amp; $A$101 &amp; "'!L28")</f>
        <v>#N/A</v>
      </c>
      <c r="S19" s="619" t="e">
        <f t="shared" ca="1" si="1"/>
        <v>#N/A</v>
      </c>
      <c r="T19" s="580" t="e">
        <f ca="1">INDIRECT("'" &amp; $A$101 &amp; "'!L26")</f>
        <v>#N/A</v>
      </c>
    </row>
    <row r="20" spans="1:20" ht="17.45" customHeight="1" x14ac:dyDescent="0.25">
      <c r="A20" s="220" t="s">
        <v>642</v>
      </c>
      <c r="B20" s="213">
        <v>30</v>
      </c>
      <c r="C20" s="212" t="s">
        <v>40</v>
      </c>
      <c r="D20" s="459" t="str">
        <f>IF(application="Cut to Length","Shear Cyc Tim 2", "Feed Angle 2")</f>
        <v>Feed Angle 2</v>
      </c>
      <c r="E20" s="460">
        <v>240</v>
      </c>
      <c r="F20" s="212" t="str">
        <f>IF(application="Cut to Length","Sec.", "Deg.")</f>
        <v>Deg.</v>
      </c>
      <c r="G20" s="5" t="s">
        <v>469</v>
      </c>
      <c r="H20" s="249" t="e">
        <f ca="1">ACCTQ+FRICTQ+LOOPTQ+STR_TO</f>
        <v>#N/A</v>
      </c>
      <c r="I20" s="2" t="e">
        <f ca="1">IF(MPEAK&gt;PEAKTQ,"OK","EXCESS")</f>
        <v>#N/A</v>
      </c>
      <c r="L20" s="208">
        <f ca="1">INDIRECT("'" &amp; $A$101 &amp; "'!C21")</f>
        <v>68</v>
      </c>
      <c r="M20" s="53" t="e">
        <f ca="1">INDIRECT("'" &amp; $A$101 &amp; "'!C22")</f>
        <v>#N/A</v>
      </c>
      <c r="N20" s="53" t="e">
        <f ca="1">INDIRECT("'" &amp; $A$101 &amp; "'!M22")</f>
        <v>#N/A</v>
      </c>
      <c r="O20" s="53" t="e">
        <f ca="1">INDIRECT("'" &amp; $A$101 &amp; "'!C28")</f>
        <v>#N/A</v>
      </c>
      <c r="P20" s="53" t="e">
        <f t="shared" ca="1" si="0"/>
        <v>#N/A</v>
      </c>
      <c r="Q20" s="55" t="e">
        <f ca="1">INDIRECT("'" &amp; $A$101 &amp; "'!C26")</f>
        <v>#N/A</v>
      </c>
      <c r="R20" s="53" t="e">
        <f ca="1">INDIRECT("'" &amp; $A$101 &amp; "'!M28")</f>
        <v>#N/A</v>
      </c>
      <c r="S20" s="619" t="e">
        <f t="shared" ca="1" si="1"/>
        <v>#N/A</v>
      </c>
      <c r="T20" s="580" t="e">
        <f ca="1">INDIRECT("'" &amp; $A$101 &amp; "'!M26")</f>
        <v>#N/A</v>
      </c>
    </row>
    <row r="21" spans="1:20" ht="17.45" customHeight="1" x14ac:dyDescent="0.25">
      <c r="A21" s="696" t="s">
        <v>1387</v>
      </c>
      <c r="B21" s="697">
        <f>_xlfn.XLOOKUP(model, tblSigma5PT[Model], tblSigma5PT[Acceleration], 0, 0, 1)</f>
        <v>0</v>
      </c>
      <c r="C21" s="212" t="s">
        <v>457</v>
      </c>
      <c r="G21" s="5" t="s">
        <v>643</v>
      </c>
      <c r="H21" s="249" t="e">
        <f ca="1">MAXA(Time3!B4:I4,Time3!B13:I13,Time3!B22:I22)</f>
        <v>#N/A</v>
      </c>
      <c r="I21" s="2" t="e">
        <f ca="1">IF(MRMS&gt;RMSTQ,"OK","EXCESS")</f>
        <v>#N/A</v>
      </c>
      <c r="L21" s="208">
        <f ca="1">INDIRECT("'" &amp; $A$101 &amp; "'!D21")</f>
        <v>72</v>
      </c>
      <c r="M21" s="53" t="e">
        <f ca="1">INDIRECT("'" &amp; $A$101 &amp; "'!D22")</f>
        <v>#N/A</v>
      </c>
      <c r="N21" s="53" t="e">
        <f ca="1">INDIRECT("'" &amp; $A$101 &amp; "'!N22")</f>
        <v>#N/A</v>
      </c>
      <c r="O21" s="53" t="e">
        <f ca="1">INDIRECT("'" &amp; $A$101 &amp; "'!D28")</f>
        <v>#N/A</v>
      </c>
      <c r="P21" s="53" t="e">
        <f t="shared" ca="1" si="0"/>
        <v>#N/A</v>
      </c>
      <c r="Q21" s="55" t="e">
        <f ca="1">INDIRECT("'" &amp; $A$101 &amp; "'!D26")</f>
        <v>#N/A</v>
      </c>
      <c r="R21" s="53" t="e">
        <f ca="1">INDIRECT("'" &amp; $A$101 &amp; "'!N28")</f>
        <v>#N/A</v>
      </c>
      <c r="S21" s="619" t="e">
        <f t="shared" ca="1" si="1"/>
        <v>#N/A</v>
      </c>
      <c r="T21" s="580" t="e">
        <f ca="1">INDIRECT("'" &amp; $A$101 &amp; "'!N26")</f>
        <v>#N/A</v>
      </c>
    </row>
    <row r="22" spans="1:20" ht="17.45" customHeight="1" x14ac:dyDescent="0.25">
      <c r="A22" s="5" t="s">
        <v>462</v>
      </c>
      <c r="B22" s="14" t="e">
        <f>VLOOKUP(model,LookupSigma5FeedPT,3,FALSE)</f>
        <v>#N/A</v>
      </c>
      <c r="C22" s="212" t="s">
        <v>463</v>
      </c>
      <c r="D22" s="5" t="s">
        <v>464</v>
      </c>
      <c r="E22" s="14" t="e">
        <f>VLOOKUP(model,LookupSigma5FeedPT,5,FALSE)</f>
        <v>#N/A</v>
      </c>
      <c r="F22" s="212" t="s">
        <v>465</v>
      </c>
      <c r="G22" s="5" t="s">
        <v>644</v>
      </c>
      <c r="H22" s="249" t="e">
        <f ca="1">MAXA(Time3!L4:S4,Time3!L13:S13,Time3!L22:S22)</f>
        <v>#N/A</v>
      </c>
      <c r="I22" s="2" t="e">
        <f ca="1">IF(MRMS&gt;RMSTQ_2,"OK","EXCESS")</f>
        <v>#N/A</v>
      </c>
      <c r="L22" s="208">
        <f ca="1">INDIRECT("'" &amp; $A$101 &amp; "'!E21")</f>
        <v>76</v>
      </c>
      <c r="M22" s="53" t="e">
        <f ca="1">INDIRECT("'" &amp; $A$101 &amp; "'!E22")</f>
        <v>#N/A</v>
      </c>
      <c r="N22" s="53" t="e">
        <f ca="1">INDIRECT("'" &amp; $A$101 &amp; "'!O22")</f>
        <v>#N/A</v>
      </c>
      <c r="O22" s="53" t="e">
        <f ca="1">INDIRECT("'" &amp; $A$101 &amp; "'!E28")</f>
        <v>#N/A</v>
      </c>
      <c r="P22" s="53" t="e">
        <f t="shared" ca="1" si="0"/>
        <v>#N/A</v>
      </c>
      <c r="Q22" s="55" t="e">
        <f ca="1">INDIRECT("'" &amp; $A$101 &amp; "'!E26")</f>
        <v>#N/A</v>
      </c>
      <c r="R22" s="53" t="e">
        <f ca="1">INDIRECT("'" &amp; $A$101 &amp; "'!O28")</f>
        <v>#N/A</v>
      </c>
      <c r="S22" s="619" t="e">
        <f t="shared" ca="1" si="1"/>
        <v>#N/A</v>
      </c>
      <c r="T22" s="580" t="e">
        <f ca="1">INDIRECT("'" &amp; $A$101 &amp; "'!O26")</f>
        <v>#N/A</v>
      </c>
    </row>
    <row r="23" spans="1:20" ht="17.45" customHeight="1" x14ac:dyDescent="0.25">
      <c r="A23" s="5" t="s">
        <v>467</v>
      </c>
      <c r="B23" s="371" t="e">
        <f>VLOOKUP(model,LookupSigma5FeedPT,4,FALSE)</f>
        <v>#N/A</v>
      </c>
      <c r="C23" s="369" t="s">
        <v>461</v>
      </c>
      <c r="D23" s="5" t="s">
        <v>468</v>
      </c>
      <c r="E23" s="14" t="e">
        <f>VLOOKUP(model,LookupSigma5FeedPT,6,FALSE)</f>
        <v>#N/A</v>
      </c>
      <c r="F23" s="212" t="s">
        <v>465</v>
      </c>
      <c r="G23" s="5" t="s">
        <v>478</v>
      </c>
      <c r="H23" s="249" t="e">
        <f ca="1">(((reflin*RPM)/(9.55*ACCTM_2))/(VLOOKUP(model,LookupSigma5FeedPT,9,FALSE))+((MINT*RPM)/(9.55*ACCTM_2)))</f>
        <v>#N/A</v>
      </c>
      <c r="I23" s="2" t="e">
        <f ca="1">IF(ACCTQ_2&lt;MPEAK,"OK","EXCESS")</f>
        <v>#N/A</v>
      </c>
      <c r="L23" s="208">
        <f ca="1">INDIRECT("'" &amp; $A$101 &amp; "'!F21")</f>
        <v>80</v>
      </c>
      <c r="M23" s="53" t="e">
        <f ca="1">INDIRECT("'" &amp; $A$101 &amp; "'!F22")</f>
        <v>#N/A</v>
      </c>
      <c r="N23" s="53" t="e">
        <f ca="1">INDIRECT("'" &amp; $A$101 &amp; "'!P22")</f>
        <v>#N/A</v>
      </c>
      <c r="O23" s="53" t="e">
        <f ca="1">INDIRECT("'" &amp; $A$101 &amp; "'!F28")</f>
        <v>#N/A</v>
      </c>
      <c r="P23" s="53" t="e">
        <f t="shared" ca="1" si="0"/>
        <v>#N/A</v>
      </c>
      <c r="Q23" s="55" t="e">
        <f ca="1">INDIRECT("'" &amp; $A$101 &amp; "'!F26")</f>
        <v>#N/A</v>
      </c>
      <c r="R23" s="53" t="e">
        <f ca="1">INDIRECT("'" &amp; $A$101 &amp; "'!P28")</f>
        <v>#N/A</v>
      </c>
      <c r="S23" s="619" t="e">
        <f t="shared" ca="1" si="1"/>
        <v>#N/A</v>
      </c>
      <c r="T23" s="580" t="e">
        <f ca="1">INDIRECT("'" &amp; $A$101 &amp; "'!P26")</f>
        <v>#N/A</v>
      </c>
    </row>
    <row r="24" spans="1:20" ht="17.45" customHeight="1" x14ac:dyDescent="0.25">
      <c r="A24" s="5" t="s">
        <v>1129</v>
      </c>
      <c r="B24" s="6" t="e">
        <f>MRPM/RATIO*(VLOOKUP(model,LookupSigma5FeedPT,13,FALSE)*PI()/720)*60</f>
        <v>#N/A</v>
      </c>
      <c r="C24" s="212" t="s">
        <v>452</v>
      </c>
      <c r="D24" s="5" t="s">
        <v>470</v>
      </c>
      <c r="E24" s="249" t="e">
        <f>((VLOOKUP(model,LookupSigma5FeedPT,12,FALSE))*0.5*B20)/RATIO</f>
        <v>#N/A</v>
      </c>
      <c r="F24" s="212" t="s">
        <v>465</v>
      </c>
      <c r="G24" s="16" t="s">
        <v>216</v>
      </c>
      <c r="H24" s="372" t="e">
        <f>(0.667*YLD*MATWIDTH*(MatThickness^2)/CNT.DIS)*K_CONST*(VLOOKUP(model,LookupSigma5FeedPT,12,FALSE))*0.125/RATIO/(VLOOKUP(model,LookupSigma5FeedPT,9,FALSE))</f>
        <v>#N/A</v>
      </c>
      <c r="I24" s="2" t="e">
        <f>IF(STR_TO&lt;MRMS*0.9,"OK", IF(STR_TO&lt;MRMS, "WARNING", "EXCESS"))</f>
        <v>#N/A</v>
      </c>
      <c r="L24" s="208">
        <f ca="1">INDIRECT("'" &amp; $A$101 &amp; "'!G21")</f>
        <v>84</v>
      </c>
      <c r="M24" s="53" t="e">
        <f ca="1">INDIRECT("'" &amp; $A$101 &amp; "'!G22")</f>
        <v>#N/A</v>
      </c>
      <c r="N24" s="53" t="e">
        <f ca="1">INDIRECT("'" &amp; $A$101 &amp; "'!Q22")</f>
        <v>#N/A</v>
      </c>
      <c r="O24" s="53" t="e">
        <f ca="1">INDIRECT("'" &amp; $A$101 &amp; "'!G28")</f>
        <v>#N/A</v>
      </c>
      <c r="P24" s="53" t="e">
        <f t="shared" ca="1" si="0"/>
        <v>#N/A</v>
      </c>
      <c r="Q24" s="55" t="e">
        <f ca="1">INDIRECT("'" &amp; $A$101 &amp; "'!G26")</f>
        <v>#N/A</v>
      </c>
      <c r="R24" s="53" t="e">
        <f ca="1">INDIRECT("'" &amp; $A$101 &amp; "'!Q28")</f>
        <v>#N/A</v>
      </c>
      <c r="S24" s="619" t="e">
        <f t="shared" ca="1" si="1"/>
        <v>#N/A</v>
      </c>
      <c r="T24" s="580" t="e">
        <f ca="1">INDIRECT("'" &amp; $A$101 &amp; "'!Q26")</f>
        <v>#N/A</v>
      </c>
    </row>
    <row r="25" spans="1:20" ht="17.45" customHeight="1" x14ac:dyDescent="0.25">
      <c r="A25" s="5" t="s">
        <v>472</v>
      </c>
      <c r="B25" s="5" t="e">
        <f>IF(MATCH&lt;10, 0.035, 0.06)</f>
        <v>#N/A</v>
      </c>
      <c r="C25" s="212" t="s">
        <v>473</v>
      </c>
      <c r="D25" s="5" t="s">
        <v>474</v>
      </c>
      <c r="E25" s="6" t="e">
        <f>((B15*C15*E15*F15*0.5)*(VLOOKUP(model,LookupSigma5FeedPT,12))*0.5)/RATIO/VLOOKUP(model,LookupSigma5FeedPT,9)</f>
        <v>#N/A</v>
      </c>
      <c r="F25" s="212" t="s">
        <v>465</v>
      </c>
      <c r="I25" s="23" t="e">
        <f ca="1">IF(AND(MPEAK&gt;PEAKTQ,MRMS&gt;RMSTQ,MRMS&gt;RMSTQ_2,ACCTQ&lt;MPEAK,width&gt;=MATWIDTH),"OK","NOT OK")</f>
        <v>#N/A</v>
      </c>
      <c r="L25" s="208">
        <f ca="1">INDIRECT("'" &amp; $A$101 &amp; "'!H21")</f>
        <v>88</v>
      </c>
      <c r="M25" s="53" t="e">
        <f ca="1">INDIRECT("'" &amp; $A$101 &amp; "'!H22")</f>
        <v>#N/A</v>
      </c>
      <c r="N25" s="53" t="e">
        <f ca="1">INDIRECT("'" &amp; $A$101 &amp; "'!R22")</f>
        <v>#N/A</v>
      </c>
      <c r="O25" s="53" t="e">
        <f ca="1">INDIRECT("'" &amp; $A$101 &amp; "'!H28")</f>
        <v>#N/A</v>
      </c>
      <c r="P25" s="53" t="e">
        <f t="shared" ca="1" si="0"/>
        <v>#N/A</v>
      </c>
      <c r="Q25" s="55" t="e">
        <f ca="1">INDIRECT("'" &amp; $A$101 &amp; "'!H26")</f>
        <v>#N/A</v>
      </c>
      <c r="R25" s="53" t="e">
        <f ca="1">INDIRECT("'" &amp; $A$101 &amp; "'!R28")</f>
        <v>#N/A</v>
      </c>
      <c r="S25" s="619" t="e">
        <f t="shared" ca="1" si="1"/>
        <v>#N/A</v>
      </c>
      <c r="T25" s="580" t="e">
        <f ca="1">INDIRECT("'" &amp; $A$101 &amp; "'!R26")</f>
        <v>#N/A</v>
      </c>
    </row>
    <row r="26" spans="1:20" ht="17.45" customHeight="1" thickBot="1" x14ac:dyDescent="0.3">
      <c r="A26" s="5" t="s">
        <v>224</v>
      </c>
      <c r="B26" s="373" t="e">
        <f>VLOOKUP(model,LookupSigma5FeedPT,2,FALSE)</f>
        <v>#N/A</v>
      </c>
      <c r="C26" s="212" t="s">
        <v>476</v>
      </c>
      <c r="D26" s="5" t="s">
        <v>477</v>
      </c>
      <c r="E26" s="5" t="e">
        <f>VLOOKUP(model,LookupSigma5FeedPT,7)</f>
        <v>#N/A</v>
      </c>
      <c r="F26" s="212" t="s">
        <v>465</v>
      </c>
      <c r="G26" s="5" t="s">
        <v>645</v>
      </c>
      <c r="H26" s="249" t="e">
        <f ca="1">regen</f>
        <v>#N/A</v>
      </c>
      <c r="I26" s="369" t="s">
        <v>459</v>
      </c>
      <c r="L26" s="232">
        <f ca="1">INDIRECT("'" &amp; $A$101 &amp; "'!I21")</f>
        <v>92</v>
      </c>
      <c r="M26" s="233" t="e">
        <f ca="1">INDIRECT("'" &amp; $A$101 &amp; "'!I22")</f>
        <v>#N/A</v>
      </c>
      <c r="N26" s="233" t="e">
        <f ca="1">INDIRECT("'" &amp; $A$101 &amp; "'!S22")</f>
        <v>#N/A</v>
      </c>
      <c r="O26" s="233" t="e">
        <f ca="1">INDIRECT("'" &amp; $A$101 &amp; "'!I28")</f>
        <v>#N/A</v>
      </c>
      <c r="P26" s="233" t="e">
        <f t="shared" ca="1" si="0"/>
        <v>#N/A</v>
      </c>
      <c r="Q26" s="234" t="e">
        <f ca="1">INDIRECT("'" &amp; $A$101 &amp; "'!I26")</f>
        <v>#N/A</v>
      </c>
      <c r="R26" s="233" t="e">
        <f ca="1">INDIRECT("'" &amp; $A$101 &amp; "'!S28")</f>
        <v>#N/A</v>
      </c>
      <c r="S26" s="389" t="e">
        <f t="shared" ca="1" si="1"/>
        <v>#N/A</v>
      </c>
      <c r="T26" s="618" t="e">
        <f ca="1">INDIRECT("'" &amp; $A$101 &amp; "'!S26")</f>
        <v>#N/A</v>
      </c>
    </row>
    <row r="27" spans="1:20" ht="15.75" customHeight="1" x14ac:dyDescent="0.25"/>
    <row r="53" spans="1:24" x14ac:dyDescent="0.25">
      <c r="F53" s="2"/>
      <c r="G53" s="2"/>
      <c r="H53" s="2"/>
      <c r="I53" s="2"/>
    </row>
    <row r="54" spans="1:24" x14ac:dyDescent="0.25">
      <c r="B54" s="2"/>
      <c r="C54" s="2"/>
      <c r="D54" s="2"/>
      <c r="E54" s="2"/>
      <c r="F54" s="2"/>
      <c r="G54" s="2"/>
      <c r="H54" s="2"/>
      <c r="I54" s="2"/>
    </row>
    <row r="55" spans="1:24" x14ac:dyDescent="0.25">
      <c r="B55" s="2"/>
      <c r="C55" s="2"/>
      <c r="D55" s="2"/>
      <c r="E55" s="2"/>
      <c r="F55" s="2"/>
      <c r="G55" s="2"/>
      <c r="H55" s="2"/>
      <c r="I55" s="2"/>
    </row>
    <row r="56" spans="1:24" x14ac:dyDescent="0.25">
      <c r="B56" s="2"/>
      <c r="C56" s="2"/>
      <c r="D56" s="2"/>
      <c r="E56" s="2"/>
      <c r="F56" s="2"/>
      <c r="G56" s="2"/>
      <c r="H56" s="2"/>
      <c r="I56" s="2"/>
    </row>
    <row r="57" spans="1:24" x14ac:dyDescent="0.25">
      <c r="B57" s="2"/>
      <c r="C57" s="2"/>
      <c r="D57" s="2"/>
      <c r="E57" s="2"/>
      <c r="F57" s="2"/>
      <c r="G57" s="2"/>
      <c r="H57" s="2"/>
      <c r="I57" s="2"/>
    </row>
    <row r="58" spans="1:24" x14ac:dyDescent="0.25">
      <c r="B58" s="2"/>
      <c r="C58" s="2"/>
      <c r="D58" s="2"/>
      <c r="E58" s="2"/>
      <c r="F58" s="2"/>
      <c r="G58" s="2"/>
      <c r="H58" s="2"/>
      <c r="I58" s="2"/>
    </row>
    <row r="59" spans="1:24" x14ac:dyDescent="0.25">
      <c r="B59" s="2"/>
      <c r="C59" s="2"/>
      <c r="D59" s="2"/>
      <c r="E59" s="2"/>
      <c r="F59" s="2"/>
      <c r="G59" s="2"/>
      <c r="H59" s="2"/>
      <c r="I59" s="2"/>
    </row>
    <row r="60" spans="1:24" x14ac:dyDescent="0.25">
      <c r="B60" s="2"/>
      <c r="C60" s="2"/>
      <c r="D60" s="2"/>
      <c r="E60" s="2"/>
      <c r="F60" s="2"/>
      <c r="G60" s="2"/>
      <c r="H60" s="2"/>
      <c r="I60" s="2"/>
    </row>
    <row r="61" spans="1:24" x14ac:dyDescent="0.25"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</row>
    <row r="62" spans="1:24" ht="15.75" x14ac:dyDescent="0.25">
      <c r="A62" s="547" t="s">
        <v>1001</v>
      </c>
      <c r="B62" s="251"/>
      <c r="C62" s="251"/>
      <c r="D62" s="251"/>
      <c r="E62" s="251"/>
      <c r="I62"/>
    </row>
    <row r="63" spans="1:24" ht="15.75" x14ac:dyDescent="0.25">
      <c r="A63" t="s">
        <v>160</v>
      </c>
      <c r="B63" s="548" t="s">
        <v>1002</v>
      </c>
      <c r="C63" s="251"/>
      <c r="D63" s="251"/>
      <c r="E63" s="251"/>
    </row>
    <row r="64" spans="1:24" ht="15.75" x14ac:dyDescent="0.25">
      <c r="A64" s="235" t="s">
        <v>647</v>
      </c>
      <c r="B64" s="431" t="e">
        <f ca="1">Inertia3!$M$41</f>
        <v>#N/A</v>
      </c>
      <c r="C64" s="251"/>
      <c r="D64" s="581"/>
      <c r="E64" s="251"/>
      <c r="F64" s="23"/>
      <c r="G64" s="432"/>
      <c r="H64" s="431"/>
      <c r="I64" s="434"/>
      <c r="J64" s="431"/>
      <c r="K64" s="432"/>
      <c r="L64" s="431"/>
      <c r="M64" s="431"/>
      <c r="N64" s="543"/>
      <c r="O64" s="543"/>
      <c r="P64" s="543"/>
      <c r="Q64" s="430"/>
      <c r="R64" s="430"/>
      <c r="S64" s="430"/>
      <c r="T64" s="240"/>
      <c r="W64" s="240"/>
      <c r="X64" s="236"/>
    </row>
    <row r="65" spans="1:23" ht="15.75" x14ac:dyDescent="0.25">
      <c r="A65" s="235" t="s">
        <v>1018</v>
      </c>
      <c r="B65" s="431" t="e">
        <f ca="1">Inertia3!$B$41</f>
        <v>#N/A</v>
      </c>
      <c r="C65" s="251"/>
      <c r="D65" s="251"/>
      <c r="E65" s="251"/>
      <c r="F65" s="23"/>
      <c r="G65" s="432"/>
      <c r="H65" s="431"/>
      <c r="I65" s="434"/>
      <c r="J65" s="431"/>
      <c r="K65" s="432"/>
      <c r="L65" s="431"/>
      <c r="M65" s="431"/>
      <c r="N65" s="543"/>
      <c r="O65" s="543"/>
      <c r="P65" s="543"/>
      <c r="Q65" s="430"/>
      <c r="R65" s="430"/>
      <c r="S65" s="430"/>
      <c r="T65" s="240"/>
      <c r="W65" s="240"/>
    </row>
    <row r="66" spans="1:23" ht="15.75" x14ac:dyDescent="0.25">
      <c r="A66" s="235" t="s">
        <v>648</v>
      </c>
      <c r="B66" s="431" t="e">
        <f ca="1">Inertia3!$X$41</f>
        <v>#N/A</v>
      </c>
      <c r="C66" s="251"/>
      <c r="D66" s="251"/>
      <c r="E66" s="251"/>
      <c r="F66" s="23"/>
      <c r="G66" s="432"/>
      <c r="H66" s="431"/>
      <c r="I66" s="434"/>
      <c r="J66" s="431"/>
      <c r="K66" s="432"/>
      <c r="L66" s="431"/>
      <c r="M66" s="431"/>
      <c r="N66" s="543"/>
      <c r="O66" s="543"/>
      <c r="P66" s="543"/>
      <c r="Q66" s="430"/>
      <c r="R66" s="430"/>
      <c r="S66" s="430"/>
      <c r="T66" s="240"/>
      <c r="W66" s="240"/>
    </row>
    <row r="67" spans="1:23" ht="15.75" x14ac:dyDescent="0.25">
      <c r="A67" s="235" t="s">
        <v>1019</v>
      </c>
      <c r="B67" s="431" t="e">
        <f ca="1">Inertia3!$AI$41</f>
        <v>#N/A</v>
      </c>
      <c r="C67" s="251"/>
      <c r="D67" s="251"/>
      <c r="E67" s="251"/>
      <c r="F67" s="23"/>
      <c r="G67" s="432"/>
      <c r="H67" s="431"/>
      <c r="I67" s="434"/>
      <c r="J67" s="431"/>
      <c r="K67" s="432"/>
      <c r="L67" s="431"/>
      <c r="M67" s="431"/>
      <c r="N67" s="543"/>
      <c r="O67" s="543"/>
      <c r="P67" s="543"/>
      <c r="Q67" s="430"/>
      <c r="R67" s="430"/>
      <c r="S67" s="430"/>
      <c r="T67" s="240"/>
      <c r="W67" s="240"/>
    </row>
    <row r="68" spans="1:23" ht="15.75" x14ac:dyDescent="0.25">
      <c r="A68" s="235" t="s">
        <v>649</v>
      </c>
      <c r="B68" s="431" t="e">
        <f ca="1">Inertia3!$AT$43</f>
        <v>#N/A</v>
      </c>
      <c r="C68" s="251"/>
      <c r="D68" s="251"/>
      <c r="E68" s="251"/>
      <c r="F68" s="23"/>
      <c r="G68" s="432"/>
      <c r="H68" s="431"/>
      <c r="I68" s="434"/>
      <c r="J68" s="431"/>
      <c r="K68" s="432"/>
      <c r="L68" s="431"/>
      <c r="M68" s="431"/>
      <c r="N68" s="543"/>
      <c r="O68" s="543"/>
      <c r="P68" s="543"/>
      <c r="Q68" s="430"/>
      <c r="R68" s="430"/>
      <c r="S68" s="430"/>
      <c r="T68" s="239"/>
      <c r="W68" s="240"/>
    </row>
    <row r="69" spans="1:23" ht="15.75" x14ac:dyDescent="0.25">
      <c r="A69" s="235" t="s">
        <v>650</v>
      </c>
      <c r="B69" s="431" t="e">
        <f ca="1">Inertia3!$BE$43</f>
        <v>#N/A</v>
      </c>
      <c r="C69" s="251"/>
      <c r="D69" s="251"/>
      <c r="E69" s="251"/>
      <c r="F69" s="23"/>
      <c r="G69" s="432"/>
      <c r="H69" s="431"/>
      <c r="I69" s="434"/>
      <c r="J69" s="431"/>
      <c r="K69" s="432"/>
      <c r="L69" s="431"/>
      <c r="M69" s="431"/>
      <c r="N69" s="543"/>
      <c r="O69" s="543"/>
      <c r="P69" s="543"/>
      <c r="Q69" s="430"/>
      <c r="R69" s="430"/>
      <c r="S69" s="430"/>
      <c r="T69" s="239"/>
      <c r="W69" s="240"/>
    </row>
    <row r="70" spans="1:23" ht="15.75" x14ac:dyDescent="0.25">
      <c r="A70" s="235" t="s">
        <v>651</v>
      </c>
      <c r="B70" s="431" t="e">
        <f ca="1">Inertia3!$BP$43</f>
        <v>#N/A</v>
      </c>
      <c r="C70" s="251"/>
      <c r="D70" s="251"/>
      <c r="E70" s="251"/>
      <c r="F70" s="23"/>
      <c r="G70" s="432"/>
      <c r="H70" s="431"/>
      <c r="I70" s="434"/>
      <c r="J70" s="431"/>
      <c r="K70" s="432"/>
      <c r="L70" s="431"/>
      <c r="M70" s="431"/>
      <c r="N70" s="543"/>
      <c r="O70" s="543"/>
      <c r="P70" s="543"/>
      <c r="Q70" s="430"/>
      <c r="R70" s="430"/>
      <c r="S70" s="430"/>
      <c r="T70" s="239"/>
      <c r="W70" s="240"/>
    </row>
    <row r="71" spans="1:23" ht="15.75" x14ac:dyDescent="0.25">
      <c r="A71" s="235" t="s">
        <v>652</v>
      </c>
      <c r="B71" s="431" t="e">
        <f ca="1">Inertia3!$CA$43</f>
        <v>#N/A</v>
      </c>
      <c r="C71" s="251"/>
      <c r="D71" s="251"/>
      <c r="E71" s="251"/>
      <c r="F71" s="23"/>
      <c r="G71" s="432"/>
      <c r="H71" s="431"/>
      <c r="I71" s="434"/>
      <c r="J71" s="431"/>
      <c r="K71" s="432"/>
      <c r="L71" s="431"/>
      <c r="M71" s="431"/>
      <c r="N71" s="543"/>
      <c r="O71" s="543"/>
      <c r="P71" s="543"/>
      <c r="Q71" s="430"/>
      <c r="R71" s="430"/>
      <c r="S71" s="430"/>
      <c r="T71" s="239"/>
      <c r="W71" s="240"/>
    </row>
    <row r="72" spans="1:23" ht="15.75" x14ac:dyDescent="0.25">
      <c r="A72" s="235" t="s">
        <v>653</v>
      </c>
      <c r="B72" s="431" t="e">
        <f ca="1">Inertia3!$CL$43</f>
        <v>#N/A</v>
      </c>
      <c r="C72" s="251"/>
      <c r="D72" s="251"/>
      <c r="E72" s="251"/>
      <c r="F72" s="23"/>
      <c r="G72" s="432"/>
      <c r="H72" s="431"/>
      <c r="I72" s="434"/>
      <c r="J72" s="431"/>
      <c r="K72" s="432"/>
      <c r="L72" s="431"/>
      <c r="M72" s="431"/>
      <c r="N72" s="543"/>
      <c r="O72" s="543"/>
      <c r="P72" s="543"/>
      <c r="Q72" s="430"/>
      <c r="R72" s="430"/>
      <c r="S72" s="430"/>
      <c r="T72" s="239"/>
      <c r="W72" s="240"/>
    </row>
    <row r="73" spans="1:23" ht="15.75" x14ac:dyDescent="0.25">
      <c r="A73" s="235" t="s">
        <v>654</v>
      </c>
      <c r="B73" s="431" t="e">
        <f ca="1">Inertia3!$DH$46</f>
        <v>#N/A</v>
      </c>
      <c r="C73" s="251"/>
      <c r="D73" s="251"/>
      <c r="E73" s="251"/>
      <c r="F73" s="23"/>
      <c r="G73" s="432"/>
      <c r="H73" s="431"/>
      <c r="I73" s="434"/>
      <c r="J73" s="431"/>
      <c r="K73" s="432"/>
      <c r="L73" s="431"/>
      <c r="M73" s="431"/>
      <c r="N73" s="543"/>
      <c r="O73" s="543"/>
      <c r="P73" s="543"/>
      <c r="Q73" s="430"/>
      <c r="R73" s="430"/>
      <c r="S73" s="430"/>
      <c r="T73" s="239"/>
      <c r="W73" s="240"/>
    </row>
    <row r="74" spans="1:23" ht="15.75" x14ac:dyDescent="0.25">
      <c r="A74" s="235" t="s">
        <v>657</v>
      </c>
      <c r="B74" s="431" t="e">
        <f ca="1">Inertia3!$CW$46</f>
        <v>#N/A</v>
      </c>
      <c r="C74" s="251"/>
      <c r="D74" s="251"/>
      <c r="E74" s="251"/>
      <c r="F74" s="23"/>
      <c r="G74" s="432"/>
      <c r="H74" s="431"/>
      <c r="I74" s="434"/>
      <c r="J74" s="431"/>
      <c r="K74" s="432"/>
      <c r="L74" s="431"/>
      <c r="M74" s="431"/>
      <c r="N74" s="543"/>
      <c r="O74" s="543"/>
      <c r="P74" s="543"/>
      <c r="Q74" s="430"/>
      <c r="R74" s="430"/>
      <c r="S74" s="430"/>
      <c r="T74" s="239"/>
      <c r="W74" s="240"/>
    </row>
    <row r="75" spans="1:23" ht="15.75" x14ac:dyDescent="0.25">
      <c r="A75" s="235" t="s">
        <v>814</v>
      </c>
      <c r="B75" s="431" t="e">
        <f ca="1">Inertia3!$DS$46</f>
        <v>#N/A</v>
      </c>
      <c r="C75" s="251"/>
      <c r="D75" s="251"/>
      <c r="E75" s="251"/>
      <c r="F75" s="23"/>
      <c r="G75" s="432"/>
      <c r="H75" s="431"/>
      <c r="I75" s="434"/>
      <c r="J75" s="431"/>
      <c r="K75" s="432"/>
      <c r="L75" s="431"/>
      <c r="M75" s="431"/>
      <c r="N75" s="543"/>
      <c r="O75" s="543"/>
      <c r="P75" s="543"/>
      <c r="Q75" s="430"/>
      <c r="R75" s="430"/>
      <c r="S75" s="430"/>
      <c r="T75" s="239"/>
      <c r="W75" s="240"/>
    </row>
    <row r="76" spans="1:23" ht="15.75" x14ac:dyDescent="0.25">
      <c r="A76" s="235" t="s">
        <v>813</v>
      </c>
      <c r="B76" s="431" t="e">
        <f ca="1">Inertia3!$ED$46</f>
        <v>#N/A</v>
      </c>
      <c r="C76" s="251"/>
      <c r="D76" s="251"/>
      <c r="E76" s="251"/>
      <c r="F76" s="23"/>
      <c r="G76" s="432"/>
      <c r="H76" s="431"/>
      <c r="I76" s="434"/>
      <c r="J76" s="431"/>
      <c r="K76" s="432"/>
      <c r="L76" s="431"/>
      <c r="M76" s="431"/>
      <c r="N76" s="543"/>
      <c r="O76" s="543"/>
      <c r="P76" s="543"/>
      <c r="Q76" s="430"/>
      <c r="R76" s="430"/>
      <c r="S76" s="430"/>
      <c r="T76" s="239"/>
      <c r="W76" s="240"/>
    </row>
    <row r="77" spans="1:23" ht="15.75" x14ac:dyDescent="0.25">
      <c r="A77" s="235" t="s">
        <v>812</v>
      </c>
      <c r="B77" s="431" t="e">
        <f ca="1">Inertia3!$EO$46</f>
        <v>#N/A</v>
      </c>
      <c r="C77" s="251"/>
      <c r="D77" s="251"/>
      <c r="E77" s="251"/>
      <c r="F77" s="23"/>
      <c r="G77" s="432"/>
      <c r="H77" s="431"/>
      <c r="I77" s="434"/>
      <c r="J77" s="431"/>
      <c r="K77" s="432"/>
      <c r="L77" s="431"/>
      <c r="M77" s="431"/>
      <c r="N77" s="543"/>
      <c r="O77" s="543"/>
      <c r="P77" s="543"/>
      <c r="Q77" s="430"/>
      <c r="R77" s="430"/>
      <c r="S77" s="430"/>
      <c r="T77" s="239"/>
      <c r="W77" s="240"/>
    </row>
    <row r="78" spans="1:23" ht="15.75" x14ac:dyDescent="0.25">
      <c r="A78" s="235" t="s">
        <v>811</v>
      </c>
      <c r="B78" s="431" t="e">
        <f ca="1">Inertia3!$EZ$46</f>
        <v>#N/A</v>
      </c>
      <c r="C78" s="251"/>
      <c r="D78" s="251"/>
      <c r="E78" s="251"/>
      <c r="F78" s="23"/>
      <c r="G78" s="432"/>
      <c r="H78" s="431"/>
      <c r="I78" s="432"/>
      <c r="J78" s="431"/>
      <c r="K78" s="432"/>
      <c r="L78" s="431"/>
      <c r="M78" s="431"/>
      <c r="N78" s="543"/>
      <c r="O78" s="543"/>
      <c r="P78" s="543"/>
      <c r="Q78" s="430"/>
      <c r="R78" s="430"/>
      <c r="S78" s="430"/>
      <c r="T78" s="239"/>
    </row>
    <row r="79" spans="1:23" ht="15.75" x14ac:dyDescent="0.25">
      <c r="A79" s="235" t="s">
        <v>810</v>
      </c>
      <c r="B79" s="431" t="e">
        <f ca="1">Inertia3!$FK$46</f>
        <v>#N/A</v>
      </c>
      <c r="C79" s="258"/>
      <c r="D79" s="258"/>
      <c r="E79" s="258"/>
      <c r="F79" s="23"/>
      <c r="G79" s="432"/>
      <c r="H79" s="431"/>
      <c r="I79" s="432"/>
      <c r="J79" s="431"/>
      <c r="K79" s="432"/>
      <c r="L79" s="431"/>
      <c r="M79" s="431"/>
      <c r="N79" s="543"/>
      <c r="O79" s="543"/>
      <c r="P79" s="543"/>
      <c r="Q79" s="430"/>
      <c r="R79" s="430"/>
      <c r="S79" s="430"/>
      <c r="T79" s="239"/>
    </row>
    <row r="80" spans="1:23" ht="15.75" x14ac:dyDescent="0.25">
      <c r="A80" s="235" t="s">
        <v>809</v>
      </c>
      <c r="B80" s="431" t="e">
        <f ca="1">Inertia3!$FV$46</f>
        <v>#N/A</v>
      </c>
      <c r="C80" s="258"/>
      <c r="D80" s="258"/>
      <c r="E80" s="258"/>
      <c r="F80" s="23"/>
      <c r="G80" s="432"/>
      <c r="H80" s="431"/>
      <c r="I80" s="432"/>
      <c r="J80" s="431"/>
      <c r="K80" s="432"/>
      <c r="L80" s="431"/>
      <c r="M80" s="431"/>
      <c r="N80" s="543"/>
      <c r="O80" s="543"/>
      <c r="P80" s="543"/>
      <c r="Q80" s="430"/>
      <c r="R80" s="430"/>
      <c r="S80" s="430"/>
      <c r="T80" s="239"/>
    </row>
    <row r="83" spans="1:16" ht="15.75" x14ac:dyDescent="0.25">
      <c r="A83" s="374"/>
      <c r="B83" s="242"/>
      <c r="C83" s="338"/>
      <c r="D83" s="375"/>
      <c r="E83" s="338"/>
      <c r="F83" s="5" t="s">
        <v>517</v>
      </c>
      <c r="G83" s="5" t="e">
        <f>((vel*720)/(VLOOKUP(model,LookupSigma5FeedPT,12,FALSE)*PI()))*RATIO</f>
        <v>#N/A</v>
      </c>
      <c r="H83" s="2" t="e">
        <f>IF(RPM&gt;MRPM,"EXCESS","OK")</f>
        <v>#N/A</v>
      </c>
      <c r="I83" s="338"/>
      <c r="J83" s="242" t="s">
        <v>946</v>
      </c>
      <c r="K83">
        <f>StrMaxSp*12</f>
        <v>504</v>
      </c>
      <c r="O83" s="239"/>
      <c r="P83" s="239"/>
    </row>
    <row r="84" spans="1:16" ht="15.75" x14ac:dyDescent="0.25">
      <c r="A84" s="374"/>
      <c r="B84" s="242"/>
      <c r="C84" s="245"/>
      <c r="D84" s="375"/>
      <c r="E84" s="245"/>
      <c r="F84" s="245"/>
      <c r="G84" s="245"/>
      <c r="H84" s="245"/>
      <c r="I84" s="245"/>
      <c r="J84" s="566" t="s">
        <v>949</v>
      </c>
      <c r="K84" s="237" t="e">
        <f>MRPM/RATIO*(VLOOKUP(model,LookupSigma5FeedPT,13,FALSE)*PI()/720)</f>
        <v>#N/A</v>
      </c>
      <c r="O84" s="239"/>
      <c r="P84" s="239"/>
    </row>
    <row r="85" spans="1:16" ht="15.75" x14ac:dyDescent="0.25">
      <c r="A85" s="248"/>
      <c r="B85" s="245"/>
      <c r="C85" s="245"/>
      <c r="D85" s="245"/>
      <c r="E85" s="245"/>
      <c r="F85" s="245"/>
      <c r="G85" s="376" t="s">
        <v>662</v>
      </c>
      <c r="H85" s="377" t="e">
        <f ca="1">(((reflin*RPM)/(9.55*ACCTM))/(VLOOKUP(model,LookupSigma5FeedPT,9,FALSE))+((MINT*RPM)/(9.55*ACCTM)))</f>
        <v>#N/A</v>
      </c>
      <c r="I85" s="245"/>
      <c r="J85" s="245"/>
      <c r="O85" s="29" t="s">
        <v>1005</v>
      </c>
    </row>
    <row r="86" spans="1:16" x14ac:dyDescent="0.25">
      <c r="A86" s="241"/>
      <c r="B86" s="548"/>
      <c r="C86" s="548"/>
      <c r="D86" s="548"/>
      <c r="E86" s="548"/>
      <c r="F86" s="549"/>
      <c r="G86" s="550"/>
      <c r="H86" s="551"/>
      <c r="I86" s="552"/>
      <c r="J86" s="553"/>
    </row>
    <row r="87" spans="1:16" x14ac:dyDescent="0.25">
      <c r="A87" s="241"/>
      <c r="B87" s="548"/>
      <c r="C87" s="548"/>
      <c r="D87" s="548"/>
      <c r="E87" s="548"/>
      <c r="F87" s="554"/>
      <c r="G87" s="550"/>
      <c r="H87" s="551"/>
      <c r="I87" s="552"/>
      <c r="J87" s="553"/>
    </row>
    <row r="88" spans="1:16" x14ac:dyDescent="0.25">
      <c r="F88" s="555"/>
      <c r="G88" s="550"/>
      <c r="H88" s="551"/>
      <c r="I88" s="555"/>
      <c r="J88" s="555"/>
    </row>
    <row r="89" spans="1:16" x14ac:dyDescent="0.25">
      <c r="F89" s="554"/>
      <c r="G89" s="550"/>
      <c r="H89" s="551"/>
      <c r="I89" s="552"/>
      <c r="J89" s="553"/>
    </row>
    <row r="90" spans="1:16" x14ac:dyDescent="0.25">
      <c r="F90" s="554"/>
      <c r="G90" s="550"/>
      <c r="H90" s="551"/>
      <c r="I90" s="552"/>
      <c r="J90" s="553"/>
    </row>
    <row r="91" spans="1:16" x14ac:dyDescent="0.25">
      <c r="F91" s="555"/>
      <c r="G91" s="550"/>
      <c r="H91" s="551"/>
      <c r="I91" s="555"/>
      <c r="J91" s="555"/>
    </row>
    <row r="92" spans="1:16" x14ac:dyDescent="0.25">
      <c r="F92" s="554"/>
      <c r="G92" s="550"/>
      <c r="H92" s="551"/>
      <c r="I92" s="552"/>
      <c r="J92" s="553"/>
    </row>
    <row r="93" spans="1:16" x14ac:dyDescent="0.25">
      <c r="F93" s="554"/>
      <c r="G93" s="550"/>
      <c r="H93" s="551"/>
      <c r="I93" s="552"/>
      <c r="J93" s="553"/>
    </row>
    <row r="94" spans="1:16" x14ac:dyDescent="0.25">
      <c r="F94" s="555"/>
      <c r="G94" s="550"/>
      <c r="H94" s="551"/>
      <c r="I94" s="555"/>
      <c r="J94" s="555"/>
    </row>
    <row r="95" spans="1:16" x14ac:dyDescent="0.25">
      <c r="F95" s="554"/>
      <c r="G95" s="550"/>
      <c r="H95" s="551"/>
      <c r="I95" s="552"/>
      <c r="J95" s="553"/>
    </row>
    <row r="96" spans="1:16" x14ac:dyDescent="0.25">
      <c r="F96" s="554"/>
      <c r="G96" s="550"/>
      <c r="H96" s="551"/>
      <c r="I96" s="552"/>
      <c r="J96" s="553"/>
    </row>
    <row r="97" spans="1:10" x14ac:dyDescent="0.25">
      <c r="F97" s="555"/>
      <c r="G97" s="550"/>
      <c r="H97" s="551"/>
      <c r="I97" s="555"/>
      <c r="J97" s="555"/>
    </row>
    <row r="98" spans="1:10" x14ac:dyDescent="0.25">
      <c r="F98" s="554"/>
      <c r="G98" s="550"/>
      <c r="H98" s="551"/>
      <c r="I98" s="552"/>
      <c r="J98" s="553"/>
    </row>
    <row r="99" spans="1:10" x14ac:dyDescent="0.25">
      <c r="F99" s="554"/>
      <c r="G99" s="550"/>
      <c r="H99" s="551"/>
      <c r="I99" s="552"/>
      <c r="J99" s="553"/>
    </row>
    <row r="100" spans="1:10" x14ac:dyDescent="0.25">
      <c r="F100" s="555"/>
      <c r="G100" s="550"/>
      <c r="H100" s="551"/>
      <c r="I100" s="555"/>
      <c r="J100" s="555"/>
    </row>
    <row r="101" spans="1:10" x14ac:dyDescent="0.25">
      <c r="A101" s="600" t="s">
        <v>1008</v>
      </c>
      <c r="B101" s="600"/>
      <c r="F101" s="554"/>
      <c r="G101" s="550"/>
      <c r="H101" s="551"/>
      <c r="I101" s="552"/>
      <c r="J101" s="553"/>
    </row>
    <row r="102" spans="1:10" x14ac:dyDescent="0.25">
      <c r="A102" s="600" t="s">
        <v>908</v>
      </c>
      <c r="B102" s="600" t="e">
        <f ca="1">INDIRECT("'" &amp; A$101 &amp; "'!" &amp; A102)</f>
        <v>#N/A</v>
      </c>
      <c r="F102" s="554"/>
      <c r="G102" s="550"/>
      <c r="H102" s="551"/>
      <c r="I102" s="552"/>
      <c r="J102" s="553"/>
    </row>
    <row r="103" spans="1:10" x14ac:dyDescent="0.25">
      <c r="A103" s="600" t="s">
        <v>909</v>
      </c>
      <c r="B103" s="600" t="e">
        <f t="shared" ref="B103:B111" ca="1" si="2">INDIRECT("'" &amp; A$101 &amp; "'!" &amp; A103)</f>
        <v>#N/A</v>
      </c>
      <c r="F103" s="555"/>
      <c r="G103" s="550"/>
      <c r="H103" s="551"/>
      <c r="I103" s="555"/>
      <c r="J103" s="555"/>
    </row>
    <row r="104" spans="1:10" x14ac:dyDescent="0.25">
      <c r="A104" s="600" t="s">
        <v>912</v>
      </c>
      <c r="B104" s="600" t="e">
        <f t="shared" ca="1" si="2"/>
        <v>#N/A</v>
      </c>
      <c r="F104" s="555"/>
      <c r="G104" s="550"/>
      <c r="H104" s="551"/>
      <c r="I104" s="552"/>
      <c r="J104" s="553"/>
    </row>
    <row r="105" spans="1:10" x14ac:dyDescent="0.25">
      <c r="A105" s="600" t="s">
        <v>913</v>
      </c>
      <c r="B105" s="600" t="e">
        <f t="shared" ca="1" si="2"/>
        <v>#N/A</v>
      </c>
      <c r="F105" s="242"/>
      <c r="G105" s="242"/>
      <c r="H105" s="242"/>
      <c r="I105" s="242"/>
      <c r="J105" s="242"/>
    </row>
    <row r="106" spans="1:10" x14ac:dyDescent="0.25">
      <c r="A106" s="600" t="s">
        <v>915</v>
      </c>
      <c r="B106" s="600" t="e">
        <f t="shared" ca="1" si="2"/>
        <v>#N/A</v>
      </c>
      <c r="F106" s="242"/>
      <c r="G106" s="242"/>
      <c r="H106" s="242"/>
      <c r="I106" s="242"/>
      <c r="J106" s="242"/>
    </row>
    <row r="107" spans="1:10" x14ac:dyDescent="0.25">
      <c r="A107" s="602" t="s">
        <v>916</v>
      </c>
      <c r="B107" s="603" t="e">
        <f t="shared" ca="1" si="2"/>
        <v>#N/A</v>
      </c>
      <c r="C107" s="555"/>
      <c r="D107" s="555"/>
      <c r="E107" s="555"/>
      <c r="F107" s="555"/>
      <c r="G107" s="555"/>
      <c r="H107" s="555"/>
      <c r="I107" s="555"/>
      <c r="J107" s="555"/>
    </row>
    <row r="108" spans="1:10" x14ac:dyDescent="0.25">
      <c r="A108" s="602" t="s">
        <v>918</v>
      </c>
      <c r="B108" s="604" t="e">
        <f t="shared" ca="1" si="2"/>
        <v>#N/A</v>
      </c>
      <c r="C108" s="554"/>
      <c r="D108" s="554"/>
      <c r="E108" s="554"/>
      <c r="F108" s="554"/>
      <c r="G108" s="555"/>
      <c r="H108" s="554"/>
      <c r="I108" s="554"/>
      <c r="J108" s="554"/>
    </row>
    <row r="109" spans="1:10" x14ac:dyDescent="0.25">
      <c r="A109" s="602" t="s">
        <v>919</v>
      </c>
      <c r="B109" s="604" t="e">
        <f t="shared" ca="1" si="2"/>
        <v>#N/A</v>
      </c>
      <c r="C109" s="554"/>
      <c r="D109" s="554"/>
      <c r="E109" s="554"/>
      <c r="F109" s="554"/>
      <c r="G109" s="555"/>
      <c r="H109" s="554"/>
      <c r="I109" s="554"/>
      <c r="J109" s="554"/>
    </row>
    <row r="110" spans="1:10" x14ac:dyDescent="0.25">
      <c r="A110" s="602" t="s">
        <v>932</v>
      </c>
      <c r="B110" s="604" t="e">
        <f t="shared" ca="1" si="2"/>
        <v>#N/A</v>
      </c>
      <c r="C110" s="554"/>
      <c r="D110" s="554"/>
      <c r="E110" s="554"/>
      <c r="F110" s="554"/>
      <c r="G110" s="555"/>
      <c r="H110" s="554"/>
      <c r="I110" s="554"/>
      <c r="J110" s="554"/>
    </row>
    <row r="111" spans="1:10" x14ac:dyDescent="0.25">
      <c r="A111" s="602" t="s">
        <v>933</v>
      </c>
      <c r="B111" s="603" t="e">
        <f t="shared" ca="1" si="2"/>
        <v>#N/A</v>
      </c>
      <c r="C111" s="555"/>
      <c r="D111" s="555"/>
      <c r="E111" s="554"/>
      <c r="F111" s="554"/>
      <c r="G111" s="555"/>
      <c r="H111" s="554"/>
      <c r="I111" s="554"/>
      <c r="J111" s="554"/>
    </row>
    <row r="112" spans="1:10" x14ac:dyDescent="0.25">
      <c r="A112" s="602"/>
      <c r="B112" s="603"/>
      <c r="C112" s="555"/>
      <c r="D112" s="555"/>
      <c r="E112" s="555"/>
      <c r="F112" s="555"/>
      <c r="G112" s="555"/>
      <c r="H112" s="555"/>
      <c r="I112" s="555"/>
      <c r="J112" s="555"/>
    </row>
    <row r="113" spans="1:10" x14ac:dyDescent="0.25">
      <c r="A113" s="602"/>
      <c r="B113" s="603"/>
      <c r="C113" s="555"/>
      <c r="D113" s="555"/>
      <c r="E113" s="555"/>
      <c r="F113" s="555"/>
      <c r="G113" s="555"/>
      <c r="H113" s="555"/>
      <c r="I113" s="555"/>
      <c r="J113" s="555"/>
    </row>
    <row r="114" spans="1:10" x14ac:dyDescent="0.25">
      <c r="A114" s="602" t="s">
        <v>1011</v>
      </c>
      <c r="B114" s="604"/>
      <c r="C114" s="554"/>
      <c r="D114" s="554"/>
      <c r="E114" s="554"/>
      <c r="F114" s="554"/>
      <c r="G114" s="554"/>
      <c r="H114" s="554"/>
      <c r="I114" s="554"/>
      <c r="J114" s="554"/>
    </row>
    <row r="115" spans="1:10" x14ac:dyDescent="0.25">
      <c r="A115" s="602" t="s">
        <v>917</v>
      </c>
      <c r="B115" s="604" t="e">
        <f ca="1">INDIRECT("'" &amp; A$114 &amp; "'!" &amp; A115)</f>
        <v>#N/A</v>
      </c>
      <c r="C115" s="554"/>
      <c r="D115" s="554"/>
      <c r="E115" s="554"/>
      <c r="F115" s="554"/>
      <c r="G115" s="558"/>
      <c r="H115" s="559"/>
      <c r="I115" s="554"/>
      <c r="J115" s="559"/>
    </row>
    <row r="116" spans="1:10" x14ac:dyDescent="0.25">
      <c r="A116" s="602" t="s">
        <v>490</v>
      </c>
      <c r="B116" s="604" t="e">
        <f t="shared" ref="B116:B123" ca="1" si="3">INDIRECT("'" &amp; A$114 &amp; "'!" &amp; A116)</f>
        <v>#N/A</v>
      </c>
      <c r="C116" s="555"/>
      <c r="D116" s="555"/>
      <c r="E116" s="555"/>
      <c r="F116" s="555"/>
      <c r="G116" s="555"/>
      <c r="H116" s="555"/>
      <c r="I116" s="555"/>
      <c r="J116" s="555"/>
    </row>
    <row r="117" spans="1:10" x14ac:dyDescent="0.25">
      <c r="A117" s="602" t="s">
        <v>920</v>
      </c>
      <c r="B117" s="604" t="e">
        <f t="shared" ca="1" si="3"/>
        <v>#N/A</v>
      </c>
      <c r="C117" s="555"/>
      <c r="D117" s="555"/>
      <c r="E117" s="555"/>
      <c r="F117" s="555"/>
      <c r="G117" s="555"/>
      <c r="H117" s="555"/>
      <c r="I117" s="555"/>
      <c r="J117" s="555"/>
    </row>
    <row r="118" spans="1:10" x14ac:dyDescent="0.25">
      <c r="A118" s="602" t="s">
        <v>921</v>
      </c>
      <c r="B118" s="603" t="e">
        <f t="shared" ca="1" si="3"/>
        <v>#N/A</v>
      </c>
      <c r="C118" s="555"/>
      <c r="D118" s="555"/>
      <c r="E118" s="555"/>
      <c r="F118" s="555"/>
      <c r="G118" s="555"/>
      <c r="H118" s="555"/>
      <c r="I118" s="555"/>
      <c r="J118" s="555"/>
    </row>
    <row r="119" spans="1:10" x14ac:dyDescent="0.25">
      <c r="A119" s="602" t="s">
        <v>922</v>
      </c>
      <c r="B119" s="603" t="e">
        <f t="shared" ca="1" si="3"/>
        <v>#N/A</v>
      </c>
      <c r="C119" s="555"/>
      <c r="D119" s="555"/>
      <c r="E119" s="555"/>
      <c r="F119" s="555"/>
      <c r="G119" s="555"/>
      <c r="H119" s="555"/>
      <c r="I119" s="555"/>
      <c r="J119" s="555"/>
    </row>
    <row r="120" spans="1:10" x14ac:dyDescent="0.25">
      <c r="A120" s="602" t="s">
        <v>928</v>
      </c>
      <c r="B120" s="605" t="e">
        <f t="shared" ca="1" si="3"/>
        <v>#N/A</v>
      </c>
      <c r="C120" s="555"/>
      <c r="D120" s="555"/>
      <c r="E120" s="555"/>
      <c r="F120" s="555"/>
      <c r="G120" s="555"/>
      <c r="H120" s="555"/>
      <c r="I120" s="555"/>
      <c r="J120" s="555"/>
    </row>
    <row r="121" spans="1:10" x14ac:dyDescent="0.25">
      <c r="A121" s="600" t="s">
        <v>939</v>
      </c>
      <c r="B121" s="600" t="e">
        <f t="shared" ca="1" si="3"/>
        <v>#N/A</v>
      </c>
    </row>
    <row r="122" spans="1:10" x14ac:dyDescent="0.25">
      <c r="A122" s="600" t="s">
        <v>947</v>
      </c>
      <c r="B122" s="600" t="e">
        <f t="shared" ca="1" si="3"/>
        <v>#N/A</v>
      </c>
    </row>
    <row r="123" spans="1:10" x14ac:dyDescent="0.25">
      <c r="A123" s="600" t="s">
        <v>948</v>
      </c>
      <c r="B123" s="600" t="e">
        <f t="shared" ca="1" si="3"/>
        <v>#N/A</v>
      </c>
    </row>
  </sheetData>
  <sheetProtection algorithmName="SHA-512" hashValue="sdxKV6InCROTHtkTPUe14399R13XnNKBeIRUdTpbIQPySMtubvR2WMlWCHgYYkufr+XkTKKksRtyETM698mt+A==" saltValue="e0I90C2RrwWwePo1sSFSyw==" spinCount="100000" sheet="1" objects="1" scenarios="1"/>
  <mergeCells count="7">
    <mergeCell ref="A14:A15"/>
    <mergeCell ref="B6:D6"/>
    <mergeCell ref="B5:D5"/>
    <mergeCell ref="M1:N1"/>
    <mergeCell ref="B4:D4"/>
    <mergeCell ref="H12:I12"/>
    <mergeCell ref="B9:C9"/>
  </mergeCells>
  <conditionalFormatting sqref="I19:I24">
    <cfRule type="expression" dxfId="27" priority="5">
      <formula>I19="OK"</formula>
    </cfRule>
    <cfRule type="expression" dxfId="26" priority="6">
      <formula>I19="EXCESS"</formula>
    </cfRule>
  </conditionalFormatting>
  <conditionalFormatting sqref="I25">
    <cfRule type="cellIs" dxfId="25" priority="2" stopIfTrue="1" operator="notEqual">
      <formula>"OK"</formula>
    </cfRule>
    <cfRule type="cellIs" dxfId="24" priority="3" operator="equal">
      <formula>"OK"</formula>
    </cfRule>
  </conditionalFormatting>
  <conditionalFormatting sqref="B10">
    <cfRule type="cellIs" dxfId="23" priority="1" operator="lessThan">
      <formula>MATWIDTH</formula>
    </cfRule>
  </conditionalFormatting>
  <dataValidations count="4">
    <dataValidation type="list" allowBlank="1" showInputMessage="1" showErrorMessage="1" sqref="B11 B12" xr:uid="{4F1D5D5A-A99A-4C9D-8BC7-8DBAD94EA933}">
      <formula1>LookupYN</formula1>
    </dataValidation>
    <dataValidation type="list" allowBlank="1" showInputMessage="1" showErrorMessage="1" sqref="B9:C9" xr:uid="{9F180DA4-FCBF-4C79-B973-2F7FD7077468}">
      <formula1>Sigma5PTModels</formula1>
    </dataValidation>
    <dataValidation type="list" allowBlank="1" showInputMessage="1" showErrorMessage="1" sqref="B10" xr:uid="{C464058A-8DE1-42FF-B7B1-83182D7F1DE4}">
      <formula1>Sigma5PTWidths</formula1>
    </dataValidation>
    <dataValidation type="list" allowBlank="1" showInputMessage="1" showErrorMessage="1" sqref="B17" xr:uid="{48E40A90-37A5-45D4-BFF8-6A0F757A44FB}">
      <formula1>LookupPTStrRollers</formula1>
    </dataValidation>
  </dataValidations>
  <pageMargins left="0.75" right="0.25" top="0.75" bottom="0.75" header="0.3" footer="0.3"/>
  <pageSetup scale="64" orientation="landscape" r:id="rId1"/>
  <rowBreaks count="1" manualBreakCount="1">
    <brk id="20" max="16383" man="1"/>
  </rowBreaks>
  <colBreaks count="1" manualBreakCount="1">
    <brk id="23" max="1048575" man="1"/>
  </colBreaks>
  <drawing r:id="rId2"/>
  <legacyDrawing r:id="rId3"/>
  <controls>
    <mc:AlternateContent xmlns:mc="http://schemas.openxmlformats.org/markup-compatibility/2006">
      <mc:Choice Requires="x14">
        <control shapeId="64519" r:id="rId4" name="ComboBox26">
          <controlPr defaultSize="0" autoLine="0" linkedCell="O85" listFillRange="LookupSPinch" r:id="rId5">
            <anchor moveWithCells="1" sizeWithCells="1">
              <from>
                <xdr:col>0</xdr:col>
                <xdr:colOff>1600200</xdr:colOff>
                <xdr:row>16</xdr:row>
                <xdr:rowOff>200025</xdr:rowOff>
              </from>
              <to>
                <xdr:col>2</xdr:col>
                <xdr:colOff>66675</xdr:colOff>
                <xdr:row>18</xdr:row>
                <xdr:rowOff>9525</xdr:rowOff>
              </to>
            </anchor>
          </controlPr>
        </control>
      </mc:Choice>
      <mc:Fallback>
        <control shapeId="64519" r:id="rId4" name="ComboBox26"/>
      </mc:Fallback>
    </mc:AlternateContent>
    <mc:AlternateContent xmlns:mc="http://schemas.openxmlformats.org/markup-compatibility/2006">
      <mc:Choice Requires="x14">
        <control shapeId="64521" r:id="rId6" name="Button 9">
          <controlPr defaultSize="0" print="0" autoFill="0" autoPict="0" macro="[0]!Tbl_Contents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1581150</xdr:colOff>
                <xdr:row>0</xdr:row>
                <xdr:rowOff>247650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4524" r:id="rId7" name="Button 12">
          <controlPr defaultSize="0" print="0" autoFill="0" autoPict="0" macro="[0]!JumpToBackbend">
            <anchor moveWithCells="1" sizeWithCells="1">
              <from>
                <xdr:col>18</xdr:col>
                <xdr:colOff>152400</xdr:colOff>
                <xdr:row>32</xdr:row>
                <xdr:rowOff>38100</xdr:rowOff>
              </from>
              <to>
                <xdr:col>20</xdr:col>
                <xdr:colOff>352425</xdr:colOff>
                <xdr:row>33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4525" r:id="rId8" name="Button 13">
          <controlPr defaultSize="0" print="0" autoFill="0" autoPict="0" macro="[0]!JumpToTDDBHD">
            <anchor moveWithCells="1" sizeWithCells="1">
              <from>
                <xdr:col>18</xdr:col>
                <xdr:colOff>152400</xdr:colOff>
                <xdr:row>30</xdr:row>
                <xdr:rowOff>28575</xdr:rowOff>
              </from>
              <to>
                <xdr:col>20</xdr:col>
                <xdr:colOff>342900</xdr:colOff>
                <xdr:row>31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4526" r:id="rId9" name="Button 14">
          <controlPr defaultSize="0" print="0" autoFill="0" autoPict="0" macro="[0]!JumpToStrUtility">
            <anchor moveWithCells="1" sizeWithCells="1">
              <from>
                <xdr:col>18</xdr:col>
                <xdr:colOff>142875</xdr:colOff>
                <xdr:row>31</xdr:row>
                <xdr:rowOff>38100</xdr:rowOff>
              </from>
              <to>
                <xdr:col>20</xdr:col>
                <xdr:colOff>352425</xdr:colOff>
                <xdr:row>32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4527" r:id="rId10" name="Button 15">
          <controlPr defaultSize="0" print="0" autoFill="0" autoPict="0" macro="[0]!JumpToEquipmentSummary">
            <anchor moveWithCells="1" sizeWithCells="1">
              <from>
                <xdr:col>18</xdr:col>
                <xdr:colOff>142875</xdr:colOff>
                <xdr:row>29</xdr:row>
                <xdr:rowOff>19050</xdr:rowOff>
              </from>
              <to>
                <xdr:col>20</xdr:col>
                <xdr:colOff>352425</xdr:colOff>
                <xdr:row>30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4528" r:id="rId11" name="Button 16">
          <controlPr defaultSize="0" print="0" autoFill="0" autoPict="0" macro="[0]!JumpToRFQ">
            <anchor moveWithCells="1" sizeWithCells="1">
              <from>
                <xdr:col>18</xdr:col>
                <xdr:colOff>142875</xdr:colOff>
                <xdr:row>26</xdr:row>
                <xdr:rowOff>200025</xdr:rowOff>
              </from>
              <to>
                <xdr:col>20</xdr:col>
                <xdr:colOff>352425</xdr:colOff>
                <xdr:row>27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4529" r:id="rId12" name="Button 17">
          <controlPr defaultSize="0" print="0" autoFill="0" autoPict="0" macro="[0]!JumpToMaterialSpecs">
            <anchor moveWithCells="1" sizeWithCells="1">
              <from>
                <xdr:col>18</xdr:col>
                <xdr:colOff>142875</xdr:colOff>
                <xdr:row>28</xdr:row>
                <xdr:rowOff>9525</xdr:rowOff>
              </from>
              <to>
                <xdr:col>20</xdr:col>
                <xdr:colOff>352425</xdr:colOff>
                <xdr:row>29</xdr:row>
                <xdr:rowOff>9525</xdr:rowOff>
              </to>
            </anchor>
          </controlPr>
        </control>
      </mc:Choice>
    </mc:AlternateContent>
  </control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CAD9B-25D7-4C4E-A738-B5D5FC2FA5C1}">
  <sheetPr codeName="Sheet35">
    <tabColor rgb="FFFF0000"/>
  </sheetPr>
  <dimension ref="A1:L45"/>
  <sheetViews>
    <sheetView topLeftCell="A13" workbookViewId="0">
      <selection activeCell="A41" sqref="A41:F45"/>
    </sheetView>
  </sheetViews>
  <sheetFormatPr defaultRowHeight="15" x14ac:dyDescent="0.25"/>
  <cols>
    <col min="7" max="7" width="0" hidden="1" customWidth="1"/>
  </cols>
  <sheetData>
    <row r="1" spans="1:12" x14ac:dyDescent="0.25">
      <c r="A1" s="263" t="s">
        <v>519</v>
      </c>
      <c r="B1" s="264"/>
      <c r="C1" s="264"/>
      <c r="D1" s="264"/>
      <c r="E1" s="264"/>
      <c r="F1" s="264"/>
      <c r="G1" s="264"/>
      <c r="H1" s="264"/>
      <c r="I1" s="1011" t="s">
        <v>520</v>
      </c>
      <c r="J1" s="1012"/>
      <c r="K1" s="1013"/>
      <c r="L1" s="265"/>
    </row>
    <row r="2" spans="1:12" x14ac:dyDescent="0.25">
      <c r="A2" s="266" t="s">
        <v>521</v>
      </c>
      <c r="B2" s="265"/>
      <c r="C2" s="267" t="s">
        <v>522</v>
      </c>
      <c r="D2" s="265"/>
      <c r="E2" s="265"/>
      <c r="F2" s="265"/>
      <c r="G2" s="265"/>
      <c r="H2" s="265" t="s">
        <v>523</v>
      </c>
      <c r="I2" s="1014"/>
      <c r="J2" s="1015"/>
      <c r="K2" s="1016"/>
      <c r="L2" s="265"/>
    </row>
    <row r="3" spans="1:12" ht="15.75" thickBot="1" x14ac:dyDescent="0.3">
      <c r="A3" s="268"/>
      <c r="B3" s="269"/>
      <c r="C3" s="269"/>
      <c r="D3" s="269"/>
      <c r="E3" s="269"/>
      <c r="F3" s="269"/>
      <c r="G3" s="269"/>
      <c r="H3" s="269"/>
      <c r="I3" s="1017"/>
      <c r="J3" s="1018"/>
      <c r="K3" s="1019"/>
      <c r="L3" s="265"/>
    </row>
    <row r="4" spans="1:12" x14ac:dyDescent="0.25">
      <c r="A4" s="265"/>
      <c r="B4" s="265"/>
      <c r="C4" s="265"/>
      <c r="D4" s="265"/>
      <c r="E4" s="265"/>
      <c r="F4" s="265"/>
      <c r="G4" s="265"/>
      <c r="H4" s="270"/>
      <c r="I4" s="265"/>
      <c r="J4" s="265"/>
      <c r="K4" s="265"/>
      <c r="L4" s="265"/>
    </row>
    <row r="5" spans="1:12" x14ac:dyDescent="0.25">
      <c r="A5" s="271"/>
      <c r="B5" s="272" t="s">
        <v>524</v>
      </c>
      <c r="C5" s="273"/>
      <c r="D5" s="273"/>
      <c r="E5" s="273"/>
      <c r="F5" s="273"/>
      <c r="G5" s="273"/>
      <c r="H5" s="273"/>
      <c r="I5" s="274"/>
      <c r="J5" s="270"/>
      <c r="K5" s="265"/>
      <c r="L5" s="265"/>
    </row>
    <row r="6" spans="1:12" ht="15.75" thickBot="1" x14ac:dyDescent="0.3">
      <c r="A6" s="275"/>
      <c r="B6" s="265"/>
      <c r="C6" s="265"/>
      <c r="D6" s="265"/>
      <c r="E6" s="265"/>
      <c r="F6" s="265"/>
      <c r="G6" s="265"/>
      <c r="H6" s="265"/>
      <c r="I6" s="276"/>
      <c r="J6" s="265"/>
      <c r="K6" s="265"/>
      <c r="L6" s="265"/>
    </row>
    <row r="7" spans="1:12" x14ac:dyDescent="0.25">
      <c r="A7" s="275"/>
      <c r="B7" s="1020" t="s">
        <v>525</v>
      </c>
      <c r="C7" s="1023" t="s">
        <v>526</v>
      </c>
      <c r="D7" s="1023" t="s">
        <v>527</v>
      </c>
      <c r="E7" s="1020" t="s">
        <v>528</v>
      </c>
      <c r="F7" s="1023" t="s">
        <v>529</v>
      </c>
      <c r="G7" s="277"/>
      <c r="H7" s="1020" t="s">
        <v>530</v>
      </c>
      <c r="I7" s="276"/>
      <c r="J7" s="265"/>
      <c r="K7" s="265"/>
      <c r="L7" s="265"/>
    </row>
    <row r="8" spans="1:12" x14ac:dyDescent="0.25">
      <c r="A8" s="275"/>
      <c r="B8" s="1021"/>
      <c r="C8" s="1024"/>
      <c r="D8" s="1026"/>
      <c r="E8" s="1021"/>
      <c r="F8" s="1026"/>
      <c r="G8" s="278"/>
      <c r="H8" s="1021"/>
      <c r="I8" s="276"/>
      <c r="J8" s="265"/>
      <c r="K8" s="265"/>
      <c r="L8" s="265"/>
    </row>
    <row r="9" spans="1:12" ht="15.75" thickBot="1" x14ac:dyDescent="0.3">
      <c r="A9" s="275"/>
      <c r="B9" s="1022"/>
      <c r="C9" s="1025"/>
      <c r="D9" s="1027"/>
      <c r="E9" s="1022"/>
      <c r="F9" s="1027"/>
      <c r="G9" s="279" t="s">
        <v>531</v>
      </c>
      <c r="H9" s="1022"/>
      <c r="I9" s="276"/>
      <c r="J9" s="265"/>
      <c r="K9" s="265"/>
      <c r="L9" s="265"/>
    </row>
    <row r="10" spans="1:12" ht="15.75" thickBot="1" x14ac:dyDescent="0.3">
      <c r="A10" s="275"/>
      <c r="B10" s="280"/>
      <c r="C10" s="281" t="e">
        <f ca="1">MATCH</f>
        <v>#N/A</v>
      </c>
      <c r="D10" s="282" t="e">
        <f ca="1">MINT*0.112943</f>
        <v>#N/A</v>
      </c>
      <c r="E10" s="283" t="e">
        <f ca="1">(D10+(C10*D10))</f>
        <v>#N/A</v>
      </c>
      <c r="F10" s="284" t="e">
        <f ca="1">RPM</f>
        <v>#N/A</v>
      </c>
      <c r="G10" s="285" t="e">
        <f ca="1">((C10*D10)+D10)*(F10*2*PI()/60/#REF!)*F10/63025*746*#REF!</f>
        <v>#N/A</v>
      </c>
      <c r="H10" s="285" t="e">
        <f ca="1">(Tint*(RPM^2))/182</f>
        <v>#N/A</v>
      </c>
      <c r="I10" s="276"/>
      <c r="J10" s="265"/>
      <c r="K10" s="265"/>
      <c r="L10" s="265"/>
    </row>
    <row r="11" spans="1:12" x14ac:dyDescent="0.25">
      <c r="A11" s="286"/>
      <c r="B11" s="287"/>
      <c r="C11" s="287"/>
      <c r="D11" s="288"/>
      <c r="E11" s="289"/>
      <c r="F11" s="287"/>
      <c r="G11" s="290"/>
      <c r="H11" s="290"/>
      <c r="I11" s="291"/>
      <c r="J11" s="265"/>
      <c r="K11" s="265"/>
      <c r="L11" s="265"/>
    </row>
    <row r="12" spans="1:12" x14ac:dyDescent="0.25">
      <c r="A12" s="292"/>
      <c r="B12" s="272" t="s">
        <v>532</v>
      </c>
      <c r="C12" s="273"/>
      <c r="D12" s="273"/>
      <c r="E12" s="273"/>
      <c r="F12" s="273"/>
      <c r="G12" s="273"/>
      <c r="H12" s="274"/>
      <c r="I12" s="265"/>
      <c r="J12" s="265"/>
      <c r="K12" s="265"/>
      <c r="L12" s="265"/>
    </row>
    <row r="13" spans="1:12" ht="15.75" thickBot="1" x14ac:dyDescent="0.3">
      <c r="A13" s="275"/>
      <c r="B13" s="265"/>
      <c r="C13" s="265"/>
      <c r="D13" s="265"/>
      <c r="E13" s="265"/>
      <c r="F13" s="265"/>
      <c r="G13" s="265"/>
      <c r="H13" s="276"/>
      <c r="I13" s="265"/>
      <c r="J13" s="265"/>
      <c r="K13" s="265"/>
      <c r="L13" s="265"/>
    </row>
    <row r="14" spans="1:12" ht="15.75" thickBot="1" x14ac:dyDescent="0.3">
      <c r="A14" s="293"/>
      <c r="B14" s="1033" t="s">
        <v>533</v>
      </c>
      <c r="C14" s="1033" t="s">
        <v>534</v>
      </c>
      <c r="D14" s="1020" t="s">
        <v>535</v>
      </c>
      <c r="E14" s="265"/>
      <c r="F14" s="265"/>
      <c r="G14" s="265"/>
      <c r="H14" s="276"/>
      <c r="I14" s="294" t="s">
        <v>536</v>
      </c>
      <c r="J14" s="295" t="s">
        <v>537</v>
      </c>
      <c r="K14" s="295"/>
      <c r="L14" s="295"/>
    </row>
    <row r="15" spans="1:12" ht="15.75" thickBot="1" x14ac:dyDescent="0.3">
      <c r="A15" s="296"/>
      <c r="B15" s="1033"/>
      <c r="C15" s="1033"/>
      <c r="D15" s="1021"/>
      <c r="E15" s="265"/>
      <c r="F15" s="265"/>
      <c r="G15" s="265"/>
      <c r="H15" s="276"/>
      <c r="I15" s="265"/>
      <c r="J15" s="295" t="s">
        <v>538</v>
      </c>
      <c r="K15" s="295"/>
      <c r="L15" s="295"/>
    </row>
    <row r="16" spans="1:12" ht="15.75" thickBot="1" x14ac:dyDescent="0.3">
      <c r="A16" s="297"/>
      <c r="B16" s="1033"/>
      <c r="C16" s="1033"/>
      <c r="D16" s="1022"/>
      <c r="E16" s="265"/>
      <c r="F16" s="298" t="s">
        <v>539</v>
      </c>
      <c r="G16" s="299"/>
      <c r="H16" s="300"/>
      <c r="I16" s="265"/>
      <c r="J16" s="295" t="s">
        <v>540</v>
      </c>
      <c r="K16" s="295"/>
      <c r="L16" s="295"/>
    </row>
    <row r="17" spans="1:12" ht="15.75" thickBot="1" x14ac:dyDescent="0.3">
      <c r="A17" s="296"/>
      <c r="B17" s="301" t="e">
        <f ca="1">ACCTM</f>
        <v>#N/A</v>
      </c>
      <c r="C17" s="302" t="e">
        <f ca="1">VLOOKUP(MODEL,LookupSigma5Feed,18)</f>
        <v>#N/A</v>
      </c>
      <c r="D17" s="303" t="e">
        <f ca="1" xml:space="preserve"> DecTm*LostWatts</f>
        <v>#N/A</v>
      </c>
      <c r="E17" s="265"/>
      <c r="F17" s="265"/>
      <c r="G17" s="265"/>
      <c r="H17" s="276"/>
      <c r="I17" s="265"/>
      <c r="J17" s="295" t="s">
        <v>541</v>
      </c>
      <c r="K17" s="295"/>
      <c r="L17" s="295"/>
    </row>
    <row r="18" spans="1:12" x14ac:dyDescent="0.25">
      <c r="A18" s="286"/>
      <c r="B18" s="304"/>
      <c r="C18" s="305"/>
      <c r="D18" s="305"/>
      <c r="E18" s="305"/>
      <c r="F18" s="305"/>
      <c r="G18" s="305"/>
      <c r="H18" s="291"/>
      <c r="I18" s="265"/>
      <c r="J18" s="265"/>
      <c r="K18" s="265"/>
      <c r="L18" s="265"/>
    </row>
    <row r="19" spans="1:12" x14ac:dyDescent="0.25">
      <c r="A19" s="292"/>
      <c r="B19" s="272" t="s">
        <v>542</v>
      </c>
      <c r="C19" s="273"/>
      <c r="D19" s="306"/>
      <c r="E19" s="273"/>
      <c r="F19" s="274"/>
      <c r="G19" s="265"/>
      <c r="H19" s="265"/>
      <c r="I19" s="265"/>
      <c r="J19" s="265"/>
      <c r="K19" s="265"/>
      <c r="L19" s="265"/>
    </row>
    <row r="20" spans="1:12" ht="15.75" thickBot="1" x14ac:dyDescent="0.3">
      <c r="A20" s="275"/>
      <c r="B20" s="307"/>
      <c r="C20" s="265"/>
      <c r="D20" s="308"/>
      <c r="E20" s="265"/>
      <c r="F20" s="276"/>
      <c r="G20" s="265"/>
      <c r="H20" s="265"/>
      <c r="I20" s="265"/>
      <c r="J20" s="265"/>
      <c r="K20" s="265"/>
      <c r="L20" s="265"/>
    </row>
    <row r="21" spans="1:12" x14ac:dyDescent="0.25">
      <c r="A21" s="275"/>
      <c r="B21" s="1023" t="s">
        <v>543</v>
      </c>
      <c r="C21" s="265"/>
      <c r="D21" s="308"/>
      <c r="E21" s="265"/>
      <c r="F21" s="276"/>
      <c r="G21" s="265"/>
      <c r="H21" s="265"/>
      <c r="I21" s="265"/>
      <c r="J21" s="265"/>
      <c r="K21" s="265"/>
      <c r="L21" s="265"/>
    </row>
    <row r="22" spans="1:12" x14ac:dyDescent="0.25">
      <c r="A22" s="275"/>
      <c r="B22" s="1034"/>
      <c r="C22" s="265"/>
      <c r="D22" s="309" t="s">
        <v>544</v>
      </c>
      <c r="E22" s="295" t="s">
        <v>545</v>
      </c>
      <c r="F22" s="310"/>
      <c r="G22" s="265"/>
      <c r="H22" s="265"/>
      <c r="I22" s="265"/>
      <c r="J22" s="265"/>
      <c r="K22" s="265"/>
      <c r="L22" s="265"/>
    </row>
    <row r="23" spans="1:12" x14ac:dyDescent="0.25">
      <c r="A23" s="275"/>
      <c r="B23" s="1034"/>
      <c r="C23" s="265"/>
      <c r="D23" s="308"/>
      <c r="E23" s="295" t="s">
        <v>546</v>
      </c>
      <c r="F23" s="310"/>
      <c r="G23" s="265"/>
      <c r="H23" s="265"/>
      <c r="I23" s="265"/>
      <c r="J23" s="265"/>
      <c r="K23" s="265"/>
      <c r="L23" s="265"/>
    </row>
    <row r="24" spans="1:12" ht="15.75" thickBot="1" x14ac:dyDescent="0.3">
      <c r="A24" s="275"/>
      <c r="B24" s="1035"/>
      <c r="C24" s="265"/>
      <c r="D24" s="308"/>
      <c r="E24" s="265"/>
      <c r="F24" s="276"/>
      <c r="G24" s="265"/>
      <c r="H24" s="265"/>
      <c r="I24" s="265"/>
      <c r="J24" s="265"/>
      <c r="K24" s="265"/>
      <c r="L24" s="265"/>
    </row>
    <row r="25" spans="1:12" ht="15.75" thickBot="1" x14ac:dyDescent="0.3">
      <c r="A25" s="293"/>
      <c r="B25" s="311" t="e">
        <f ca="1">VLOOKUP(MODEL,LookupSigma5Feed,17)</f>
        <v>#N/A</v>
      </c>
      <c r="C25" s="265"/>
      <c r="E25" s="265"/>
      <c r="F25" s="312"/>
      <c r="G25" s="265"/>
      <c r="H25" s="265"/>
      <c r="I25" s="265"/>
      <c r="J25" s="265"/>
      <c r="K25" s="265"/>
      <c r="L25" s="265"/>
    </row>
    <row r="26" spans="1:12" x14ac:dyDescent="0.25">
      <c r="A26" s="286"/>
      <c r="B26" s="313"/>
      <c r="C26" s="305"/>
      <c r="D26" s="314"/>
      <c r="E26" s="305"/>
      <c r="F26" s="315"/>
      <c r="G26" s="265"/>
      <c r="H26" s="265"/>
      <c r="I26" s="265"/>
      <c r="J26" s="265"/>
      <c r="K26" s="265"/>
      <c r="L26" s="265"/>
    </row>
    <row r="27" spans="1:12" x14ac:dyDescent="0.25">
      <c r="A27" s="271"/>
      <c r="B27" s="272" t="s">
        <v>547</v>
      </c>
      <c r="C27" s="316" t="s">
        <v>548</v>
      </c>
      <c r="D27" s="1036" t="s">
        <v>549</v>
      </c>
      <c r="E27" s="1036"/>
      <c r="F27" s="317" t="s">
        <v>550</v>
      </c>
      <c r="G27" s="273"/>
      <c r="H27" s="274" t="s">
        <v>551</v>
      </c>
      <c r="I27" s="265"/>
      <c r="J27" s="265"/>
      <c r="K27" s="265"/>
      <c r="L27" s="265"/>
    </row>
    <row r="28" spans="1:12" x14ac:dyDescent="0.25">
      <c r="A28" s="296"/>
      <c r="B28" s="265"/>
      <c r="C28" s="265"/>
      <c r="D28" s="1030"/>
      <c r="E28" s="1030"/>
      <c r="F28" s="265"/>
      <c r="G28" s="265"/>
      <c r="H28" s="276"/>
      <c r="I28" s="265"/>
      <c r="J28" s="265"/>
      <c r="K28" s="265"/>
      <c r="L28" s="265"/>
    </row>
    <row r="29" spans="1:12" x14ac:dyDescent="0.25">
      <c r="A29" s="275"/>
      <c r="B29" s="265"/>
      <c r="C29" s="318" t="s">
        <v>552</v>
      </c>
      <c r="D29" s="1028" t="e">
        <f ca="1">Es</f>
        <v>#N/A</v>
      </c>
      <c r="E29" s="1028"/>
      <c r="F29" s="319" t="e">
        <f ca="1">Em</f>
        <v>#N/A</v>
      </c>
      <c r="G29" s="319"/>
      <c r="H29" s="320" t="e">
        <f ca="1">Ec</f>
        <v>#N/A</v>
      </c>
      <c r="I29" s="265"/>
      <c r="J29" s="265"/>
      <c r="K29" s="265"/>
      <c r="L29" s="265"/>
    </row>
    <row r="30" spans="1:12" x14ac:dyDescent="0.25">
      <c r="A30" s="321"/>
      <c r="B30" s="305"/>
      <c r="C30" s="322" t="s">
        <v>552</v>
      </c>
      <c r="D30" s="1029" t="e">
        <f ca="1">Es-(Em+Ec)</f>
        <v>#N/A</v>
      </c>
      <c r="E30" s="1029"/>
      <c r="F30" s="323" t="s">
        <v>553</v>
      </c>
      <c r="G30" s="305"/>
      <c r="H30" s="291"/>
      <c r="I30" s="265"/>
      <c r="J30" s="265"/>
      <c r="K30" s="265"/>
      <c r="L30" s="265"/>
    </row>
    <row r="31" spans="1:12" x14ac:dyDescent="0.25">
      <c r="A31" s="305"/>
      <c r="B31" s="1030"/>
      <c r="C31" s="1030"/>
      <c r="D31" s="1030"/>
      <c r="E31" s="1030"/>
      <c r="F31" s="1030"/>
      <c r="G31" s="1030"/>
      <c r="H31" s="1030"/>
      <c r="I31" s="265"/>
      <c r="J31" s="265"/>
      <c r="K31" s="265"/>
      <c r="L31" s="265"/>
    </row>
    <row r="32" spans="1:12" ht="15.75" thickBot="1" x14ac:dyDescent="0.3">
      <c r="A32" s="292"/>
      <c r="B32" s="316" t="s">
        <v>554</v>
      </c>
      <c r="C32" s="316"/>
      <c r="D32" s="324" t="s">
        <v>555</v>
      </c>
      <c r="E32" s="325"/>
      <c r="F32" s="326"/>
      <c r="G32" s="327"/>
      <c r="H32" s="265"/>
      <c r="I32" s="265"/>
      <c r="J32" s="265"/>
      <c r="K32" s="265"/>
      <c r="L32" s="265"/>
    </row>
    <row r="33" spans="1:12" ht="15.75" thickBot="1" x14ac:dyDescent="0.3">
      <c r="A33" s="275"/>
      <c r="B33" s="1031" t="s">
        <v>556</v>
      </c>
      <c r="C33" s="328"/>
      <c r="D33" s="265" t="s">
        <v>557</v>
      </c>
      <c r="E33" s="329" t="s">
        <v>558</v>
      </c>
      <c r="F33" s="330" t="e">
        <f ca="1">Ek/T</f>
        <v>#N/A</v>
      </c>
      <c r="G33" s="331" t="s">
        <v>459</v>
      </c>
      <c r="H33" s="265"/>
      <c r="I33" s="299" t="s">
        <v>559</v>
      </c>
      <c r="J33" s="299" t="s">
        <v>560</v>
      </c>
      <c r="K33" s="299"/>
      <c r="L33" s="265"/>
    </row>
    <row r="34" spans="1:12" ht="15.75" thickBot="1" x14ac:dyDescent="0.3">
      <c r="A34" s="293"/>
      <c r="B34" s="1031"/>
      <c r="C34" s="328"/>
      <c r="D34" s="265" t="s">
        <v>561</v>
      </c>
      <c r="E34" s="265"/>
      <c r="F34" s="276"/>
      <c r="G34" s="276"/>
      <c r="H34" s="265"/>
      <c r="I34" s="265"/>
      <c r="J34" s="299" t="s">
        <v>562</v>
      </c>
      <c r="K34" s="265"/>
      <c r="L34" s="265"/>
    </row>
    <row r="35" spans="1:12" ht="15.75" thickBot="1" x14ac:dyDescent="0.3">
      <c r="A35" s="296"/>
      <c r="B35" s="1032"/>
      <c r="C35" s="332"/>
      <c r="D35" s="265"/>
      <c r="E35" s="265"/>
      <c r="F35" s="276"/>
      <c r="G35" s="276"/>
      <c r="H35" s="265"/>
      <c r="I35" s="265"/>
      <c r="J35" s="265"/>
      <c r="K35" s="265"/>
      <c r="L35" s="265"/>
    </row>
    <row r="36" spans="1:12" ht="15.75" thickBot="1" x14ac:dyDescent="0.3">
      <c r="A36" s="297"/>
      <c r="B36" s="301" t="e">
        <f ca="1">CYCTM</f>
        <v>#N/A</v>
      </c>
      <c r="C36" s="332"/>
      <c r="D36" s="333" t="s">
        <v>563</v>
      </c>
      <c r="E36" s="329"/>
      <c r="F36" s="334"/>
      <c r="G36" s="276"/>
      <c r="H36" s="265"/>
      <c r="I36" s="265"/>
      <c r="J36" s="265"/>
      <c r="K36" s="265"/>
      <c r="L36" s="265"/>
    </row>
    <row r="37" spans="1:12" x14ac:dyDescent="0.25">
      <c r="A37" s="296"/>
      <c r="B37" s="335"/>
      <c r="C37" s="265"/>
      <c r="D37" s="336"/>
      <c r="E37" s="329" t="s">
        <v>564</v>
      </c>
      <c r="F37" s="330" t="e">
        <f ca="1">(Ek)/(0.2*T)</f>
        <v>#N/A</v>
      </c>
      <c r="G37" s="276" t="s">
        <v>565</v>
      </c>
      <c r="H37" s="265"/>
      <c r="I37" s="265"/>
      <c r="J37" s="265"/>
      <c r="K37" s="265"/>
      <c r="L37" s="265"/>
    </row>
    <row r="41" spans="1:12" x14ac:dyDescent="0.25">
      <c r="A41" s="600" t="s">
        <v>1008</v>
      </c>
      <c r="B41" s="600"/>
      <c r="C41" s="600"/>
      <c r="D41" s="600" t="s">
        <v>1007</v>
      </c>
      <c r="E41" s="600"/>
      <c r="F41" s="600"/>
    </row>
    <row r="42" spans="1:12" x14ac:dyDescent="0.25">
      <c r="A42" s="600" t="s">
        <v>908</v>
      </c>
      <c r="B42" s="600" t="e">
        <f ca="1">INDIRECT("'" &amp; A$41 &amp; "'!" &amp; A42)</f>
        <v>#N/A</v>
      </c>
      <c r="C42" s="600"/>
      <c r="D42" s="600" t="s">
        <v>466</v>
      </c>
      <c r="E42" s="600" t="e">
        <f ca="1">INDIRECT("'" &amp; D$41 &amp; "'!" &amp; D42)</f>
        <v>#N/A</v>
      </c>
      <c r="F42" s="600"/>
    </row>
    <row r="43" spans="1:12" x14ac:dyDescent="0.25">
      <c r="A43" s="600" t="s">
        <v>915</v>
      </c>
      <c r="B43" s="600" t="e">
        <f ca="1">INDIRECT("'" &amp; A$41 &amp; "'!" &amp; A43)</f>
        <v>#N/A</v>
      </c>
      <c r="C43" s="600"/>
      <c r="D43" s="600" t="s">
        <v>930</v>
      </c>
      <c r="E43" s="600" t="e">
        <f ca="1">INDIRECT("'" &amp; D$41 &amp; "'!" &amp; D43)</f>
        <v>#N/A</v>
      </c>
      <c r="F43" s="600"/>
    </row>
    <row r="44" spans="1:12" x14ac:dyDescent="0.25">
      <c r="A44" s="600"/>
      <c r="B44" s="600"/>
      <c r="C44" s="600"/>
      <c r="D44" s="600" t="s">
        <v>985</v>
      </c>
      <c r="E44" s="600">
        <f ca="1">INDIRECT("'" &amp; D$41 &amp; "'!" &amp; D44)</f>
        <v>0</v>
      </c>
      <c r="F44" s="600"/>
    </row>
    <row r="45" spans="1:12" x14ac:dyDescent="0.25">
      <c r="A45" s="600"/>
      <c r="B45" s="600"/>
      <c r="C45" s="600"/>
      <c r="D45" s="600" t="s">
        <v>517</v>
      </c>
      <c r="E45" s="600" t="e">
        <f ca="1">INDIRECT("'" &amp; D$41 &amp; "'!" &amp; D45)</f>
        <v>#N/A</v>
      </c>
      <c r="F45" s="600"/>
    </row>
  </sheetData>
  <mergeCells count="17">
    <mergeCell ref="D29:E29"/>
    <mergeCell ref="D30:E30"/>
    <mergeCell ref="B31:H31"/>
    <mergeCell ref="B33:B35"/>
    <mergeCell ref="B14:B16"/>
    <mergeCell ref="C14:C16"/>
    <mergeCell ref="D14:D16"/>
    <mergeCell ref="B21:B24"/>
    <mergeCell ref="D27:E27"/>
    <mergeCell ref="D28:E28"/>
    <mergeCell ref="I1:K3"/>
    <mergeCell ref="B7:B9"/>
    <mergeCell ref="C7:C9"/>
    <mergeCell ref="D7:D9"/>
    <mergeCell ref="E7:E9"/>
    <mergeCell ref="F7:F9"/>
    <mergeCell ref="H7:H9"/>
  </mergeCells>
  <pageMargins left="0.7" right="0.7" top="0.75" bottom="0.75" header="0.3" footer="0.3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AF471-4B33-44C8-BBA0-E1522875F3BE}">
  <sheetPr codeName="Sheet26">
    <tabColor rgb="FFFF0000"/>
  </sheetPr>
  <dimension ref="A2:GD56"/>
  <sheetViews>
    <sheetView topLeftCell="A22" zoomScale="75" zoomScaleNormal="75" workbookViewId="0">
      <selection activeCell="A45" sqref="A45:B56"/>
    </sheetView>
  </sheetViews>
  <sheetFormatPr defaultRowHeight="15" x14ac:dyDescent="0.25"/>
  <cols>
    <col min="1" max="1" width="17.140625" customWidth="1"/>
    <col min="2" max="3" width="10" bestFit="1" customWidth="1"/>
    <col min="4" max="4" width="10.28515625" bestFit="1" customWidth="1"/>
    <col min="10" max="10" width="10.42578125" customWidth="1"/>
    <col min="13" max="13" width="10" bestFit="1" customWidth="1"/>
    <col min="15" max="15" width="10" customWidth="1"/>
    <col min="21" max="21" width="10.42578125" customWidth="1"/>
    <col min="24" max="24" width="10" bestFit="1" customWidth="1"/>
    <col min="26" max="26" width="11" customWidth="1"/>
    <col min="32" max="32" width="10.85546875" customWidth="1"/>
    <col min="35" max="35" width="9.85546875" customWidth="1"/>
    <col min="37" max="37" width="10.140625" customWidth="1"/>
    <col min="43" max="43" width="10.5703125" customWidth="1"/>
    <col min="46" max="46" width="10" customWidth="1"/>
    <col min="48" max="48" width="11.140625" customWidth="1"/>
    <col min="54" max="54" width="10.5703125" customWidth="1"/>
    <col min="56" max="56" width="10.5703125" customWidth="1"/>
    <col min="57" max="57" width="10.7109375" customWidth="1"/>
    <col min="59" max="59" width="10.140625" customWidth="1"/>
    <col min="65" max="65" width="11.140625" customWidth="1"/>
    <col min="68" max="68" width="11.5703125" customWidth="1"/>
    <col min="70" max="70" width="11.140625" customWidth="1"/>
    <col min="76" max="76" width="10.5703125" customWidth="1"/>
    <col min="79" max="79" width="10.5703125" customWidth="1"/>
    <col min="81" max="81" width="11.42578125" customWidth="1"/>
    <col min="87" max="87" width="10.140625" customWidth="1"/>
    <col min="90" max="90" width="11" customWidth="1"/>
    <col min="91" max="91" width="10.42578125" customWidth="1"/>
    <col min="92" max="92" width="10.28515625" customWidth="1"/>
    <col min="98" max="98" width="10.7109375" customWidth="1"/>
    <col min="101" max="101" width="10.85546875" customWidth="1"/>
    <col min="106" max="106" width="10.42578125" customWidth="1"/>
    <col min="109" max="109" width="10.5703125" customWidth="1"/>
    <col min="112" max="112" width="12.28515625" customWidth="1"/>
    <col min="117" max="117" width="10.28515625" customWidth="1"/>
    <col min="119" max="119" width="10" customWidth="1"/>
    <col min="120" max="120" width="11.5703125" customWidth="1"/>
    <col min="122" max="122" width="21.85546875" bestFit="1" customWidth="1"/>
    <col min="123" max="123" width="11.140625" customWidth="1"/>
    <col min="124" max="124" width="10.140625" customWidth="1"/>
    <col min="128" max="128" width="12.7109375" customWidth="1"/>
    <col min="129" max="129" width="10.85546875" customWidth="1"/>
    <col min="130" max="131" width="11.140625" customWidth="1"/>
    <col min="134" max="134" width="11.140625" customWidth="1"/>
    <col min="135" max="135" width="10.28515625" customWidth="1"/>
    <col min="139" max="139" width="10.28515625" bestFit="1" customWidth="1"/>
    <col min="142" max="142" width="11" customWidth="1"/>
    <col min="145" max="145" width="11.85546875" customWidth="1"/>
    <col min="146" max="146" width="10.7109375" customWidth="1"/>
    <col min="150" max="150" width="10.140625" customWidth="1"/>
    <col min="153" max="153" width="11.5703125" customWidth="1"/>
    <col min="156" max="156" width="12" customWidth="1"/>
    <col min="161" max="161" width="10.5703125" customWidth="1"/>
    <col min="164" max="164" width="12" customWidth="1"/>
    <col min="167" max="167" width="12.7109375" customWidth="1"/>
    <col min="172" max="172" width="10.28515625" bestFit="1" customWidth="1"/>
    <col min="175" max="175" width="10.42578125" customWidth="1"/>
    <col min="178" max="178" width="11.42578125" customWidth="1"/>
    <col min="183" max="183" width="10.28515625" bestFit="1" customWidth="1"/>
    <col min="186" max="186" width="10.7109375" customWidth="1"/>
  </cols>
  <sheetData>
    <row r="2" spans="1:186" x14ac:dyDescent="0.25">
      <c r="A2" s="235" t="s">
        <v>1018</v>
      </c>
      <c r="L2" s="235" t="s">
        <v>647</v>
      </c>
      <c r="W2" s="235" t="s">
        <v>648</v>
      </c>
      <c r="AH2" s="235" t="s">
        <v>1019</v>
      </c>
      <c r="AS2" s="235" t="s">
        <v>649</v>
      </c>
      <c r="BD2" s="235" t="s">
        <v>650</v>
      </c>
      <c r="BO2" s="235" t="s">
        <v>1015</v>
      </c>
      <c r="BZ2" s="235" t="s">
        <v>652</v>
      </c>
      <c r="CK2" s="235" t="s">
        <v>653</v>
      </c>
      <c r="CV2" s="235" t="s">
        <v>1016</v>
      </c>
      <c r="DG2" t="s">
        <v>1017</v>
      </c>
      <c r="DR2" t="s">
        <v>814</v>
      </c>
      <c r="EC2" t="s">
        <v>813</v>
      </c>
      <c r="EN2" t="s">
        <v>812</v>
      </c>
      <c r="EY2" t="s">
        <v>811</v>
      </c>
      <c r="FJ2" t="s">
        <v>810</v>
      </c>
      <c r="FU2" t="s">
        <v>809</v>
      </c>
    </row>
    <row r="4" spans="1:186" ht="15.75" x14ac:dyDescent="0.25">
      <c r="A4" s="248"/>
      <c r="B4" s="338" t="s">
        <v>570</v>
      </c>
      <c r="C4" s="338" t="s">
        <v>571</v>
      </c>
      <c r="D4" s="338" t="s">
        <v>572</v>
      </c>
      <c r="E4" s="338" t="s">
        <v>573</v>
      </c>
      <c r="F4" s="338" t="s">
        <v>574</v>
      </c>
      <c r="G4" s="338" t="s">
        <v>575</v>
      </c>
      <c r="H4" s="338" t="s">
        <v>576</v>
      </c>
      <c r="I4" s="338" t="s">
        <v>103</v>
      </c>
      <c r="J4" s="338" t="s">
        <v>577</v>
      </c>
      <c r="L4" s="248"/>
      <c r="M4" s="338" t="s">
        <v>570</v>
      </c>
      <c r="N4" s="338" t="s">
        <v>571</v>
      </c>
      <c r="O4" s="338" t="s">
        <v>572</v>
      </c>
      <c r="P4" s="338" t="s">
        <v>573</v>
      </c>
      <c r="Q4" s="338" t="s">
        <v>574</v>
      </c>
      <c r="R4" s="338" t="s">
        <v>575</v>
      </c>
      <c r="S4" s="338" t="s">
        <v>576</v>
      </c>
      <c r="T4" s="338" t="s">
        <v>103</v>
      </c>
      <c r="U4" s="338" t="s">
        <v>577</v>
      </c>
      <c r="W4" s="248"/>
      <c r="X4" s="338" t="s">
        <v>570</v>
      </c>
      <c r="Y4" s="338" t="s">
        <v>571</v>
      </c>
      <c r="Z4" s="338" t="s">
        <v>572</v>
      </c>
      <c r="AA4" s="338" t="s">
        <v>573</v>
      </c>
      <c r="AB4" s="338" t="s">
        <v>574</v>
      </c>
      <c r="AC4" s="338" t="s">
        <v>575</v>
      </c>
      <c r="AD4" s="338" t="s">
        <v>576</v>
      </c>
      <c r="AE4" s="338" t="s">
        <v>103</v>
      </c>
      <c r="AF4" s="338" t="s">
        <v>577</v>
      </c>
      <c r="AH4" s="248"/>
      <c r="AI4" s="338" t="s">
        <v>570</v>
      </c>
      <c r="AJ4" s="338" t="s">
        <v>571</v>
      </c>
      <c r="AK4" s="338" t="s">
        <v>572</v>
      </c>
      <c r="AL4" s="338" t="s">
        <v>573</v>
      </c>
      <c r="AM4" s="338" t="s">
        <v>574</v>
      </c>
      <c r="AN4" s="338" t="s">
        <v>575</v>
      </c>
      <c r="AO4" s="338" t="s">
        <v>576</v>
      </c>
      <c r="AP4" s="338" t="s">
        <v>103</v>
      </c>
      <c r="AQ4" s="338" t="s">
        <v>577</v>
      </c>
      <c r="AS4" s="248"/>
      <c r="AT4" s="338" t="s">
        <v>570</v>
      </c>
      <c r="AU4" s="338" t="s">
        <v>571</v>
      </c>
      <c r="AV4" s="338" t="s">
        <v>572</v>
      </c>
      <c r="AW4" s="338" t="s">
        <v>573</v>
      </c>
      <c r="AX4" s="338" t="s">
        <v>574</v>
      </c>
      <c r="AY4" s="338" t="s">
        <v>575</v>
      </c>
      <c r="AZ4" s="338" t="s">
        <v>576</v>
      </c>
      <c r="BA4" s="338" t="s">
        <v>103</v>
      </c>
      <c r="BB4" s="338" t="s">
        <v>577</v>
      </c>
      <c r="BD4" s="248"/>
      <c r="BE4" s="338" t="s">
        <v>570</v>
      </c>
      <c r="BF4" s="338" t="s">
        <v>571</v>
      </c>
      <c r="BG4" s="338" t="s">
        <v>572</v>
      </c>
      <c r="BH4" s="338" t="s">
        <v>573</v>
      </c>
      <c r="BI4" s="338" t="s">
        <v>574</v>
      </c>
      <c r="BJ4" s="338" t="s">
        <v>575</v>
      </c>
      <c r="BK4" s="338" t="s">
        <v>576</v>
      </c>
      <c r="BL4" s="338" t="s">
        <v>103</v>
      </c>
      <c r="BM4" s="338" t="s">
        <v>577</v>
      </c>
      <c r="BO4" s="245"/>
      <c r="BP4" s="338" t="s">
        <v>570</v>
      </c>
      <c r="BQ4" s="338" t="s">
        <v>571</v>
      </c>
      <c r="BR4" s="338" t="s">
        <v>572</v>
      </c>
      <c r="BS4" s="338" t="s">
        <v>573</v>
      </c>
      <c r="BT4" s="338" t="s">
        <v>574</v>
      </c>
      <c r="BU4" s="338" t="s">
        <v>575</v>
      </c>
      <c r="BV4" s="338" t="s">
        <v>576</v>
      </c>
      <c r="BW4" s="338" t="s">
        <v>103</v>
      </c>
      <c r="BX4" s="338" t="s">
        <v>577</v>
      </c>
      <c r="BZ4" s="245"/>
      <c r="CA4" s="338" t="s">
        <v>570</v>
      </c>
      <c r="CB4" s="338" t="s">
        <v>571</v>
      </c>
      <c r="CC4" s="338" t="s">
        <v>572</v>
      </c>
      <c r="CD4" s="338" t="s">
        <v>573</v>
      </c>
      <c r="CE4" s="338" t="s">
        <v>574</v>
      </c>
      <c r="CF4" s="338" t="s">
        <v>575</v>
      </c>
      <c r="CG4" s="338" t="s">
        <v>576</v>
      </c>
      <c r="CH4" s="338" t="s">
        <v>103</v>
      </c>
      <c r="CI4" s="338" t="s">
        <v>577</v>
      </c>
      <c r="CK4" s="248"/>
      <c r="CL4" s="338" t="s">
        <v>570</v>
      </c>
      <c r="CM4" s="338" t="s">
        <v>571</v>
      </c>
      <c r="CN4" s="338" t="s">
        <v>572</v>
      </c>
      <c r="CO4" s="338" t="s">
        <v>573</v>
      </c>
      <c r="CP4" s="338" t="s">
        <v>574</v>
      </c>
      <c r="CQ4" s="338" t="s">
        <v>575</v>
      </c>
      <c r="CR4" s="338" t="s">
        <v>576</v>
      </c>
      <c r="CS4" s="338" t="s">
        <v>103</v>
      </c>
      <c r="CT4" s="338" t="s">
        <v>577</v>
      </c>
      <c r="CV4" s="248"/>
      <c r="CW4" s="338" t="s">
        <v>570</v>
      </c>
      <c r="CX4" s="338" t="s">
        <v>571</v>
      </c>
      <c r="CY4" s="338" t="s">
        <v>572</v>
      </c>
      <c r="CZ4" s="338" t="s">
        <v>573</v>
      </c>
      <c r="DA4" s="338" t="s">
        <v>574</v>
      </c>
      <c r="DB4" s="337" t="s">
        <v>575</v>
      </c>
      <c r="DC4" s="338" t="s">
        <v>576</v>
      </c>
      <c r="DD4" s="338" t="s">
        <v>103</v>
      </c>
      <c r="DE4" s="338" t="s">
        <v>577</v>
      </c>
      <c r="DG4" s="248"/>
      <c r="DH4" s="338" t="s">
        <v>570</v>
      </c>
      <c r="DI4" s="338" t="s">
        <v>571</v>
      </c>
      <c r="DJ4" s="338" t="s">
        <v>572</v>
      </c>
      <c r="DK4" s="338" t="s">
        <v>573</v>
      </c>
      <c r="DL4" s="338" t="s">
        <v>574</v>
      </c>
      <c r="DM4" s="337" t="s">
        <v>575</v>
      </c>
      <c r="DN4" s="338" t="s">
        <v>576</v>
      </c>
      <c r="DO4" s="338" t="s">
        <v>103</v>
      </c>
      <c r="DP4" s="338" t="s">
        <v>577</v>
      </c>
      <c r="DR4" s="248"/>
      <c r="DS4" s="338" t="s">
        <v>570</v>
      </c>
      <c r="DT4" s="338" t="s">
        <v>571</v>
      </c>
      <c r="DU4" s="338" t="s">
        <v>572</v>
      </c>
      <c r="DV4" s="338" t="s">
        <v>573</v>
      </c>
      <c r="DW4" s="338" t="s">
        <v>574</v>
      </c>
      <c r="DX4" s="337" t="s">
        <v>575</v>
      </c>
      <c r="DY4" s="338" t="s">
        <v>576</v>
      </c>
      <c r="DZ4" s="338" t="s">
        <v>103</v>
      </c>
      <c r="EA4" s="338" t="s">
        <v>577</v>
      </c>
      <c r="EC4" s="248"/>
      <c r="ED4" s="338" t="s">
        <v>570</v>
      </c>
      <c r="EE4" s="338" t="s">
        <v>571</v>
      </c>
      <c r="EF4" s="338" t="s">
        <v>572</v>
      </c>
      <c r="EG4" s="338" t="s">
        <v>573</v>
      </c>
      <c r="EH4" s="338" t="s">
        <v>574</v>
      </c>
      <c r="EI4" s="337" t="s">
        <v>575</v>
      </c>
      <c r="EJ4" s="338" t="s">
        <v>576</v>
      </c>
      <c r="EK4" s="338" t="s">
        <v>103</v>
      </c>
      <c r="EL4" s="338" t="s">
        <v>577</v>
      </c>
      <c r="EN4" s="248"/>
      <c r="EO4" s="338" t="s">
        <v>570</v>
      </c>
      <c r="EP4" s="338" t="s">
        <v>571</v>
      </c>
      <c r="EQ4" s="338" t="s">
        <v>572</v>
      </c>
      <c r="ER4" s="338" t="s">
        <v>573</v>
      </c>
      <c r="ES4" s="338" t="s">
        <v>574</v>
      </c>
      <c r="ET4" s="337" t="s">
        <v>575</v>
      </c>
      <c r="EU4" s="338" t="s">
        <v>576</v>
      </c>
      <c r="EV4" s="338" t="s">
        <v>103</v>
      </c>
      <c r="EW4" s="338" t="s">
        <v>577</v>
      </c>
      <c r="EY4" s="248"/>
      <c r="EZ4" s="338" t="s">
        <v>570</v>
      </c>
      <c r="FA4" s="338" t="s">
        <v>571</v>
      </c>
      <c r="FB4" s="338" t="s">
        <v>572</v>
      </c>
      <c r="FC4" s="338" t="s">
        <v>573</v>
      </c>
      <c r="FD4" s="338" t="s">
        <v>574</v>
      </c>
      <c r="FE4" s="337" t="s">
        <v>575</v>
      </c>
      <c r="FF4" s="338" t="s">
        <v>576</v>
      </c>
      <c r="FG4" s="338" t="s">
        <v>103</v>
      </c>
      <c r="FH4" s="338" t="s">
        <v>577</v>
      </c>
      <c r="FJ4" s="248"/>
      <c r="FK4" s="338" t="s">
        <v>570</v>
      </c>
      <c r="FL4" s="338" t="s">
        <v>571</v>
      </c>
      <c r="FM4" s="338" t="s">
        <v>572</v>
      </c>
      <c r="FN4" s="338" t="s">
        <v>573</v>
      </c>
      <c r="FO4" s="338" t="s">
        <v>574</v>
      </c>
      <c r="FP4" s="337" t="s">
        <v>575</v>
      </c>
      <c r="FQ4" s="338" t="s">
        <v>576</v>
      </c>
      <c r="FR4" s="338" t="s">
        <v>103</v>
      </c>
      <c r="FS4" s="338" t="s">
        <v>577</v>
      </c>
      <c r="FU4" s="248"/>
      <c r="FV4" s="338" t="s">
        <v>570</v>
      </c>
      <c r="FW4" s="338" t="s">
        <v>571</v>
      </c>
      <c r="FX4" s="338" t="s">
        <v>572</v>
      </c>
      <c r="FY4" s="338" t="s">
        <v>573</v>
      </c>
      <c r="FZ4" s="338" t="s">
        <v>574</v>
      </c>
      <c r="GA4" s="337" t="s">
        <v>575</v>
      </c>
      <c r="GB4" s="338" t="s">
        <v>576</v>
      </c>
      <c r="GC4" s="338" t="s">
        <v>103</v>
      </c>
      <c r="GD4" s="338" t="s">
        <v>577</v>
      </c>
    </row>
    <row r="5" spans="1:186" ht="15.75" x14ac:dyDescent="0.25">
      <c r="A5" s="248"/>
      <c r="B5" s="245"/>
      <c r="C5" s="245"/>
      <c r="D5" s="245"/>
      <c r="E5" s="245"/>
      <c r="F5" s="245"/>
      <c r="G5" s="245"/>
      <c r="H5" s="245"/>
      <c r="I5" s="245"/>
      <c r="J5" s="245"/>
      <c r="L5" s="248"/>
      <c r="M5" s="245"/>
      <c r="N5" s="245"/>
      <c r="O5" s="245"/>
      <c r="P5" s="245"/>
      <c r="Q5" s="245"/>
      <c r="R5" s="245"/>
      <c r="S5" s="245"/>
      <c r="T5" s="245"/>
      <c r="U5" s="245"/>
      <c r="W5" s="248"/>
      <c r="X5" s="245"/>
      <c r="Y5" s="245"/>
      <c r="Z5" s="245"/>
      <c r="AA5" s="245"/>
      <c r="AB5" s="245"/>
      <c r="AC5" s="245"/>
      <c r="AD5" s="245"/>
      <c r="AE5" s="245"/>
      <c r="AF5" s="245"/>
      <c r="AH5" s="248"/>
      <c r="AI5" s="245"/>
      <c r="AJ5" s="245"/>
      <c r="AK5" s="245"/>
      <c r="AL5" s="245"/>
      <c r="AM5" s="245"/>
      <c r="AN5" s="245"/>
      <c r="AO5" s="245"/>
      <c r="AP5" s="245"/>
      <c r="AQ5" s="245"/>
      <c r="AS5" s="248"/>
      <c r="AT5" s="245"/>
      <c r="AU5" s="245"/>
      <c r="AV5" s="245"/>
      <c r="AW5" s="245"/>
      <c r="AX5" s="245"/>
      <c r="AY5" s="245"/>
      <c r="AZ5" s="245"/>
      <c r="BA5" s="245"/>
      <c r="BB5" s="245"/>
      <c r="BD5" s="248"/>
      <c r="BE5" s="245"/>
      <c r="BF5" s="245"/>
      <c r="BG5" s="245"/>
      <c r="BH5" s="245"/>
      <c r="BI5" s="245"/>
      <c r="BJ5" s="245"/>
      <c r="BK5" s="245"/>
      <c r="BL5" s="245"/>
      <c r="BM5" s="245"/>
      <c r="BO5" s="245"/>
      <c r="BP5" s="245"/>
      <c r="BQ5" s="245"/>
      <c r="BR5" s="245"/>
      <c r="BS5" s="245"/>
      <c r="BT5" s="245"/>
      <c r="BU5" s="245"/>
      <c r="BV5" s="245"/>
      <c r="BW5" s="245"/>
      <c r="BX5" s="245"/>
      <c r="BZ5" s="245"/>
      <c r="CA5" s="245"/>
      <c r="CB5" s="245"/>
      <c r="CC5" s="245"/>
      <c r="CD5" s="245"/>
      <c r="CE5" s="245"/>
      <c r="CF5" s="245"/>
      <c r="CG5" s="245"/>
      <c r="CH5" s="245"/>
      <c r="CI5" s="245"/>
      <c r="CK5" s="248"/>
      <c r="CL5" s="245"/>
      <c r="CM5" s="245"/>
      <c r="CN5" s="245"/>
      <c r="CO5" s="245"/>
      <c r="CP5" s="245"/>
      <c r="CQ5" s="245"/>
      <c r="CR5" s="245"/>
      <c r="CS5" s="245"/>
      <c r="CT5" s="245"/>
      <c r="CV5" s="248"/>
      <c r="CW5" s="245"/>
      <c r="CX5" s="245"/>
      <c r="CY5" s="245"/>
      <c r="CZ5" s="245"/>
      <c r="DA5" s="245"/>
      <c r="DB5" s="245"/>
      <c r="DC5" s="245"/>
      <c r="DD5" s="257"/>
      <c r="DE5" s="245"/>
      <c r="DG5" s="248"/>
      <c r="DH5" s="245"/>
      <c r="DI5" s="245"/>
      <c r="DJ5" s="245"/>
      <c r="DK5" s="245"/>
      <c r="DL5" s="245"/>
      <c r="DM5" s="245"/>
      <c r="DN5" s="245"/>
      <c r="DO5" s="257"/>
      <c r="DP5" s="245"/>
      <c r="DR5" s="248"/>
      <c r="DS5" s="245"/>
      <c r="DT5" s="245"/>
      <c r="DU5" s="245"/>
      <c r="DV5" s="245"/>
      <c r="DW5" s="245"/>
      <c r="DX5" s="245"/>
      <c r="DY5" s="245"/>
      <c r="DZ5" s="257"/>
      <c r="EA5" s="245"/>
      <c r="EC5" s="248"/>
      <c r="ED5" s="245"/>
      <c r="EE5" s="245"/>
      <c r="EF5" s="245"/>
      <c r="EG5" s="245"/>
      <c r="EH5" s="245"/>
      <c r="EI5" s="245"/>
      <c r="EJ5" s="245"/>
      <c r="EK5" s="257"/>
      <c r="EL5" s="245"/>
      <c r="EN5" s="248"/>
      <c r="EO5" s="245"/>
      <c r="EP5" s="245"/>
      <c r="EQ5" s="245"/>
      <c r="ER5" s="245"/>
      <c r="ES5" s="245"/>
      <c r="ET5" s="245"/>
      <c r="EU5" s="245"/>
      <c r="EV5" s="257"/>
      <c r="EW5" s="245"/>
      <c r="EY5" s="248"/>
      <c r="EZ5" s="245"/>
      <c r="FA5" s="245"/>
      <c r="FB5" s="245"/>
      <c r="FC5" s="245"/>
      <c r="FD5" s="245"/>
      <c r="FE5" s="245"/>
      <c r="FF5" s="245"/>
      <c r="FG5" s="257"/>
      <c r="FH5" s="245"/>
      <c r="FJ5" s="248"/>
      <c r="FK5" s="245"/>
      <c r="FL5" s="245"/>
      <c r="FM5" s="245"/>
      <c r="FN5" s="245"/>
      <c r="FO5" s="245"/>
      <c r="FP5" s="245"/>
      <c r="FQ5" s="245"/>
      <c r="FR5" s="257"/>
      <c r="FS5" s="245"/>
      <c r="FU5" s="248"/>
      <c r="FV5" s="245"/>
      <c r="FW5" s="245"/>
      <c r="FX5" s="245"/>
      <c r="FY5" s="245"/>
      <c r="FZ5" s="245"/>
      <c r="GA5" s="245"/>
      <c r="GB5" s="245"/>
      <c r="GC5" s="257"/>
      <c r="GD5" s="245"/>
    </row>
    <row r="6" spans="1:186" ht="15.75" x14ac:dyDescent="0.25">
      <c r="A6" s="248"/>
      <c r="B6" s="245"/>
      <c r="C6" s="245"/>
      <c r="D6" s="245"/>
      <c r="E6" s="245"/>
      <c r="F6" s="245"/>
      <c r="G6" s="245"/>
      <c r="H6" s="245"/>
      <c r="I6" s="245"/>
      <c r="J6" s="245"/>
      <c r="L6" s="248"/>
      <c r="M6" s="245"/>
      <c r="N6" s="245"/>
      <c r="O6" s="245"/>
      <c r="P6" s="245"/>
      <c r="Q6" s="245"/>
      <c r="R6" s="245"/>
      <c r="S6" s="245"/>
      <c r="T6" s="245"/>
      <c r="U6" s="245"/>
      <c r="W6" s="248"/>
      <c r="X6" s="245"/>
      <c r="Y6" s="245"/>
      <c r="Z6" s="245"/>
      <c r="AA6" s="245"/>
      <c r="AB6" s="245"/>
      <c r="AC6" s="245"/>
      <c r="AD6" s="245"/>
      <c r="AE6" s="245"/>
      <c r="AF6" s="245"/>
      <c r="AH6" s="248"/>
      <c r="AI6" s="245"/>
      <c r="AJ6" s="245"/>
      <c r="AK6" s="245"/>
      <c r="AL6" s="245"/>
      <c r="AM6" s="245"/>
      <c r="AN6" s="245"/>
      <c r="AO6" s="245"/>
      <c r="AP6" s="245"/>
      <c r="AQ6" s="245"/>
      <c r="AS6" s="248"/>
      <c r="AT6" s="245"/>
      <c r="AU6" s="245"/>
      <c r="AV6" s="245"/>
      <c r="AW6" s="245"/>
      <c r="AX6" s="245"/>
      <c r="AY6" s="245"/>
      <c r="AZ6" s="245"/>
      <c r="BA6" s="245"/>
      <c r="BB6" s="245"/>
      <c r="BD6" s="248"/>
      <c r="BE6" s="245"/>
      <c r="BF6" s="245"/>
      <c r="BG6" s="245"/>
      <c r="BH6" s="245"/>
      <c r="BI6" s="245"/>
      <c r="BJ6" s="245"/>
      <c r="BK6" s="245"/>
      <c r="BL6" s="245"/>
      <c r="BM6" s="245"/>
      <c r="BO6" s="248"/>
      <c r="BP6" s="245"/>
      <c r="BQ6" s="245"/>
      <c r="BR6" s="245"/>
      <c r="BS6" s="245"/>
      <c r="BT6" s="245"/>
      <c r="BU6" s="253"/>
      <c r="BV6" s="254"/>
      <c r="BW6" s="245"/>
      <c r="BX6" s="245"/>
      <c r="BZ6" s="248"/>
      <c r="CA6" s="245"/>
      <c r="CB6" s="245"/>
      <c r="CC6" s="245"/>
      <c r="CD6" s="245"/>
      <c r="CE6" s="245"/>
      <c r="CF6" s="253"/>
      <c r="CG6" s="254"/>
      <c r="CH6" s="245"/>
      <c r="CI6" s="245"/>
      <c r="CK6" s="248"/>
      <c r="CL6" s="245"/>
      <c r="CM6" s="245"/>
      <c r="CN6" s="245"/>
      <c r="CO6" s="245"/>
      <c r="CP6" s="245"/>
      <c r="CQ6" s="253"/>
      <c r="CR6" s="254"/>
      <c r="CS6" s="245"/>
      <c r="CT6" s="245"/>
      <c r="CV6" s="250" t="s">
        <v>579</v>
      </c>
      <c r="CW6" s="251">
        <v>4</v>
      </c>
      <c r="CX6" s="251">
        <v>1</v>
      </c>
      <c r="CY6" s="339">
        <f ca="1">IF(ROLLWIDTH="Y",VALUE(Width)+1.99,VALUE(Width)*0.5)</f>
        <v>1.99</v>
      </c>
      <c r="CZ6" s="251">
        <v>0.28299999999999997</v>
      </c>
      <c r="DA6" s="252">
        <v>1</v>
      </c>
      <c r="DB6" s="253">
        <f ca="1">((PI()*CY6*CZ6/4)*(CW6^2-CX6^2))*DA6</f>
        <v>6.6346902552081142</v>
      </c>
      <c r="DC6" s="254">
        <f ca="1">(((DB6/386.4)*(CW6^2+CX6^2))/8)</f>
        <v>3.6487362298957673E-2</v>
      </c>
      <c r="DD6" s="255" t="e">
        <f ca="1">Ratio</f>
        <v>#N/A</v>
      </c>
      <c r="DE6" s="256" t="e">
        <f ca="1">(DC6/(DD6^2))</f>
        <v>#N/A</v>
      </c>
      <c r="DG6" s="250" t="s">
        <v>579</v>
      </c>
      <c r="DH6" s="339">
        <v>4</v>
      </c>
      <c r="DI6" s="339">
        <v>1</v>
      </c>
      <c r="DJ6" s="339">
        <f ca="1">IF(ROLLWIDTH="Y",VALUE(Width)+1.99,VALUE(Width)*0.5)</f>
        <v>1.99</v>
      </c>
      <c r="DK6" s="254">
        <v>0.28299999999999997</v>
      </c>
      <c r="DL6" s="252">
        <v>1</v>
      </c>
      <c r="DM6" s="340">
        <f ca="1">((PI()*DJ6*DK6/4)*(DH6^2-DI6^2))*DL6</f>
        <v>6.6346902552081142</v>
      </c>
      <c r="DN6" s="254">
        <f ca="1">(((DM6/386.4)*(DH6^2+DI6^2))/8)</f>
        <v>3.6487362298957673E-2</v>
      </c>
      <c r="DO6" s="255" t="e">
        <f ca="1">Ratio</f>
        <v>#N/A</v>
      </c>
      <c r="DP6" s="256" t="e">
        <f ca="1">(DN6/(DO6^2))</f>
        <v>#N/A</v>
      </c>
      <c r="DR6" s="250" t="s">
        <v>578</v>
      </c>
      <c r="DS6" s="255">
        <v>5</v>
      </c>
      <c r="DT6" s="339">
        <v>0</v>
      </c>
      <c r="DU6" s="342">
        <f ca="1">IF(ROLLWIDTH="Y",VALUE(Width)+1.725,VALUE(Width)*0.5)</f>
        <v>1.7250000000000001</v>
      </c>
      <c r="DV6" s="251">
        <v>0.28299999999999997</v>
      </c>
      <c r="DW6" s="252">
        <v>1</v>
      </c>
      <c r="DX6" s="340">
        <f ca="1">((PI()*DU6*DV6/4)*(DS6^2-DT6^2))*DW6</f>
        <v>9.5852937104137315</v>
      </c>
      <c r="DY6" s="254">
        <f ca="1">(((DX6/386.4)*(DS6^2+DT6^2))/8)</f>
        <v>7.7520814816363637E-2</v>
      </c>
      <c r="DZ6" s="341" t="e">
        <f ca="1">Ratio</f>
        <v>#N/A</v>
      </c>
      <c r="EA6" s="256" t="e">
        <f ca="1">(DY6/(DZ6^2))</f>
        <v>#N/A</v>
      </c>
      <c r="EC6" s="250" t="s">
        <v>578</v>
      </c>
      <c r="ED6" s="255">
        <v>6</v>
      </c>
      <c r="EE6" s="339">
        <v>0</v>
      </c>
      <c r="EF6" s="342">
        <f ca="1">IF(ROLLWIDTH="Y",VALUE(Width)+1.725,VALUE(Width)*0.5)</f>
        <v>1.7250000000000001</v>
      </c>
      <c r="EG6" s="251">
        <v>0.28299999999999997</v>
      </c>
      <c r="EH6" s="252">
        <v>1</v>
      </c>
      <c r="EI6" s="340">
        <f ca="1">((PI()*EF6*EG6/4)*(ED6^2-EE6^2))*EH6</f>
        <v>13.802822942995775</v>
      </c>
      <c r="EJ6" s="254">
        <f ca="1">(((EI6/386.4)*(ED6^2+EE6^2))/8)</f>
        <v>0.16074716160321167</v>
      </c>
      <c r="EK6" s="341" t="e">
        <f ca="1">Ratio</f>
        <v>#N/A</v>
      </c>
      <c r="EL6" s="256" t="e">
        <f ca="1">(EJ6/(EK6^2))</f>
        <v>#N/A</v>
      </c>
      <c r="EN6" s="250" t="s">
        <v>578</v>
      </c>
      <c r="EO6" s="255">
        <v>6</v>
      </c>
      <c r="EP6" s="339">
        <v>0</v>
      </c>
      <c r="EQ6" s="342">
        <f ca="1">IF(ROLLWIDTH="Y",VALUE(Width)+1.725,VALUE(Width)*0.5)</f>
        <v>1.7250000000000001</v>
      </c>
      <c r="ER6" s="251">
        <v>0.28299999999999997</v>
      </c>
      <c r="ES6" s="252">
        <v>1</v>
      </c>
      <c r="ET6" s="340">
        <f ca="1">((PI()*EQ6*ER6/4)*(EO6^2-EP6^2))*ES6</f>
        <v>13.802822942995775</v>
      </c>
      <c r="EU6" s="254">
        <f ca="1">(((ET6/386.4)*(EO6^2+EP6^2))/8)</f>
        <v>0.16074716160321167</v>
      </c>
      <c r="EV6" s="341" t="e">
        <f ca="1">Ratio</f>
        <v>#N/A</v>
      </c>
      <c r="EW6" s="256" t="e">
        <f ca="1">(EU6/(EV6^2))</f>
        <v>#N/A</v>
      </c>
      <c r="EY6" s="250" t="s">
        <v>578</v>
      </c>
      <c r="EZ6" s="339">
        <v>7</v>
      </c>
      <c r="FA6" s="339">
        <v>0</v>
      </c>
      <c r="FB6" s="342">
        <f ca="1">IF(ROLLWIDTH="Y",VALUE(Width)+1.725,VALUE(Width)*0.5)</f>
        <v>1.7250000000000001</v>
      </c>
      <c r="FC6" s="251">
        <v>0.28299999999999997</v>
      </c>
      <c r="FD6" s="252">
        <v>1</v>
      </c>
      <c r="FE6" s="340">
        <f ca="1">((PI()*FB6*FC6/4)*(EZ6^2-FA6^2))*FD6</f>
        <v>18.787175672410914</v>
      </c>
      <c r="FF6" s="254">
        <f ca="1">(((FE6/386.4)*(EZ6^2+FA6^2))/8)</f>
        <v>0.29780396219854255</v>
      </c>
      <c r="FG6" s="341" t="e">
        <f ca="1">Ratio</f>
        <v>#N/A</v>
      </c>
      <c r="FH6" s="256" t="e">
        <f ca="1">(FF6/(FG6^2))</f>
        <v>#N/A</v>
      </c>
      <c r="FJ6" s="250" t="s">
        <v>578</v>
      </c>
      <c r="FK6" s="339">
        <v>7</v>
      </c>
      <c r="FL6" s="339">
        <v>0</v>
      </c>
      <c r="FM6" s="342">
        <f ca="1">IF(ROLLWIDTH="Y",VALUE(Width)+1.725,VALUE(Width)*0.5)</f>
        <v>1.7250000000000001</v>
      </c>
      <c r="FN6" s="251">
        <v>0.28299999999999997</v>
      </c>
      <c r="FO6" s="252">
        <v>1</v>
      </c>
      <c r="FP6" s="340">
        <f ca="1">((PI()*FM6*FN6/4)*(FK6^2-FL6^2))*FO6</f>
        <v>18.787175672410914</v>
      </c>
      <c r="FQ6" s="254">
        <f ca="1">(((FP6/386.4)*(FK6^2+FL6^2))/8)</f>
        <v>0.29780396219854255</v>
      </c>
      <c r="FR6" s="341" t="e">
        <f ca="1">Ratio</f>
        <v>#N/A</v>
      </c>
      <c r="FS6" s="256" t="e">
        <f ca="1">(FQ6/(FR6^2))</f>
        <v>#N/A</v>
      </c>
      <c r="FU6" s="250" t="s">
        <v>578</v>
      </c>
      <c r="FV6" s="378">
        <v>8</v>
      </c>
      <c r="FW6" s="378">
        <v>0</v>
      </c>
      <c r="FX6" s="379">
        <f ca="1">IF(ROLLWIDTH="Y",VALUE(Width)+1.725,VALUE(Width)*0.5)</f>
        <v>1.7250000000000001</v>
      </c>
      <c r="FY6" s="251">
        <v>0.28299999999999997</v>
      </c>
      <c r="FZ6" s="252">
        <v>1</v>
      </c>
      <c r="GA6" s="340">
        <f ca="1">((PI()*FX6*FY6/4)*(FV6^2-FW6^2))*FZ6</f>
        <v>24.538351898659155</v>
      </c>
      <c r="GB6" s="254">
        <f ca="1">(((GA6/386.4)*(FV6^2+FW6^2))/8)</f>
        <v>0.50804041198052086</v>
      </c>
      <c r="GC6" s="341" t="e">
        <f ca="1">Ratio</f>
        <v>#N/A</v>
      </c>
      <c r="GD6" s="256" t="e">
        <f ca="1">(GB6/(GC6^2))</f>
        <v>#N/A</v>
      </c>
    </row>
    <row r="7" spans="1:186" ht="15.75" x14ac:dyDescent="0.25">
      <c r="A7" s="250" t="s">
        <v>578</v>
      </c>
      <c r="B7" s="251">
        <v>2.25</v>
      </c>
      <c r="C7" s="251">
        <v>0</v>
      </c>
      <c r="D7" s="251">
        <f ca="1">VALUE(Width)+0.75</f>
        <v>0.75</v>
      </c>
      <c r="E7" s="251">
        <v>0.28299999999999997</v>
      </c>
      <c r="F7" s="252">
        <v>1</v>
      </c>
      <c r="G7" s="253">
        <f ca="1">((PI()*D7*E7/4)*(B7^2-C7^2))*F7</f>
        <v>0.84392259841686124</v>
      </c>
      <c r="H7" s="254">
        <f ca="1">(((G7/386.4)*(B7^2+C7^2))/8)</f>
        <v>1.3821034402450051E-3</v>
      </c>
      <c r="I7" s="255" t="e">
        <f ca="1">Ratio</f>
        <v>#N/A</v>
      </c>
      <c r="J7" s="256" t="e">
        <f ca="1">(H7/(I7^2))</f>
        <v>#N/A</v>
      </c>
      <c r="L7" s="250" t="s">
        <v>578</v>
      </c>
      <c r="M7" s="251">
        <v>2.25</v>
      </c>
      <c r="N7" s="251">
        <v>0</v>
      </c>
      <c r="O7" s="251">
        <f ca="1">VALUE(Width)+0.75</f>
        <v>0.75</v>
      </c>
      <c r="P7" s="251">
        <v>0.28299999999999997</v>
      </c>
      <c r="Q7" s="252">
        <v>1</v>
      </c>
      <c r="R7" s="253">
        <f ca="1">((PI()*P7*O7/4)*(M7^2-N7^2))*Q7</f>
        <v>0.84392259841686124</v>
      </c>
      <c r="S7" s="254">
        <f ca="1">(((R7/386.4)*(M7^2+N7^2))/8)</f>
        <v>1.3821034402450051E-3</v>
      </c>
      <c r="T7" s="255" t="e">
        <f ca="1">Ratio</f>
        <v>#N/A</v>
      </c>
      <c r="U7" s="256" t="e">
        <f ca="1">(S7/(T7^2))</f>
        <v>#N/A</v>
      </c>
      <c r="W7" s="250" t="s">
        <v>578</v>
      </c>
      <c r="X7" s="251">
        <v>2.625</v>
      </c>
      <c r="Y7" s="251">
        <v>0</v>
      </c>
      <c r="Z7" s="251">
        <f ca="1">VALUE(Width)+0.75</f>
        <v>0.75</v>
      </c>
      <c r="AA7" s="251">
        <v>0.28299999999999997</v>
      </c>
      <c r="AB7" s="252">
        <v>1</v>
      </c>
      <c r="AC7" s="253">
        <f ca="1">((PI()*Z7*AA7/4)*(X7^2-Y7^2))*AB7</f>
        <v>1.1486724256229499</v>
      </c>
      <c r="AD7" s="254">
        <f ca="1">(((AC7/386.4)*(X7^2+Y7^2))/8)</f>
        <v>2.5605172531082232E-3</v>
      </c>
      <c r="AE7" s="255" t="e">
        <f ca="1">Ratio</f>
        <v>#N/A</v>
      </c>
      <c r="AF7" s="256" t="e">
        <f ca="1">(AD7/(AE7^2))</f>
        <v>#N/A</v>
      </c>
      <c r="AH7" s="250" t="s">
        <v>578</v>
      </c>
      <c r="AI7" s="251">
        <v>2.625</v>
      </c>
      <c r="AJ7" s="251">
        <v>0</v>
      </c>
      <c r="AK7" s="251">
        <f ca="1">VALUE(Width)+0.75</f>
        <v>0.75</v>
      </c>
      <c r="AL7" s="251">
        <v>0.28299999999999997</v>
      </c>
      <c r="AM7" s="252">
        <v>1</v>
      </c>
      <c r="AN7" s="253">
        <f ca="1">((PI()*AK7*AL7/4)*(AI7^2-AJ7^2))*AM7</f>
        <v>1.1486724256229499</v>
      </c>
      <c r="AO7" s="254">
        <f ca="1">(((AN7/386.4)*(AI7^2+AJ7^2))/8)</f>
        <v>2.5605172531082232E-3</v>
      </c>
      <c r="AP7" s="255" t="e">
        <f ca="1">Ratio</f>
        <v>#N/A</v>
      </c>
      <c r="AQ7" s="256" t="e">
        <f ca="1">(AO7/(AP7^2))</f>
        <v>#N/A</v>
      </c>
      <c r="AS7" s="250" t="s">
        <v>579</v>
      </c>
      <c r="AT7" s="251">
        <v>3</v>
      </c>
      <c r="AU7" s="251">
        <v>0</v>
      </c>
      <c r="AV7" s="251">
        <f ca="1">IF(ROLLWIDTH="Y", VALUE(Width)+1.99, VALUE(Width)*0.5)</f>
        <v>1.99</v>
      </c>
      <c r="AW7" s="251">
        <v>0.28299999999999997</v>
      </c>
      <c r="AX7" s="252">
        <v>1</v>
      </c>
      <c r="AY7" s="253">
        <f ca="1">((PI()*AV7*AW7/4)*(AT7^2-AU7^2))*AX7</f>
        <v>3.9808141531248684</v>
      </c>
      <c r="AZ7" s="254">
        <f ca="1">(((AY7/386.4)*(AT7^2+AU7^2))/8)</f>
        <v>1.1590103318492436E-2</v>
      </c>
      <c r="BA7" s="251" t="e">
        <f ca="1">Ratio</f>
        <v>#N/A</v>
      </c>
      <c r="BB7" s="256" t="e">
        <f ca="1">(AZ7/(BA7^2))</f>
        <v>#N/A</v>
      </c>
      <c r="BD7" s="250" t="s">
        <v>579</v>
      </c>
      <c r="BE7" s="251">
        <v>3</v>
      </c>
      <c r="BF7" s="251">
        <v>0</v>
      </c>
      <c r="BG7" s="251">
        <f ca="1">IF(ROLLWIDTH="Y", VALUE(Width)+1.99, VALUE(Width)*0.5)</f>
        <v>1.99</v>
      </c>
      <c r="BH7" s="251">
        <v>0.28299999999999997</v>
      </c>
      <c r="BI7" s="252">
        <v>1</v>
      </c>
      <c r="BJ7" s="253">
        <f ca="1">((PI()*BG7*BH7/4)*(BE7^2-BF7^2))*BI7</f>
        <v>3.9808141531248684</v>
      </c>
      <c r="BK7" s="254">
        <f ca="1">(((BJ7/386.4)*(BE7^2+BF7^2))/8)</f>
        <v>1.1590103318492436E-2</v>
      </c>
      <c r="BL7" s="251" t="e">
        <f ca="1">Ratio</f>
        <v>#N/A</v>
      </c>
      <c r="BM7" s="256" t="e">
        <f ca="1">(BK7/(BL7^2))</f>
        <v>#N/A</v>
      </c>
      <c r="BO7" s="250" t="s">
        <v>579</v>
      </c>
      <c r="BP7" s="251">
        <v>3</v>
      </c>
      <c r="BQ7" s="251">
        <v>0</v>
      </c>
      <c r="BR7" s="251">
        <f ca="1">IF(ROLLWIDTH="Y", VALUE(Width)+1.99, VALUE(Width)*0.5)</f>
        <v>1.99</v>
      </c>
      <c r="BS7" s="251">
        <v>0.28299999999999997</v>
      </c>
      <c r="BT7" s="252">
        <v>1</v>
      </c>
      <c r="BU7" s="253">
        <f ca="1">((PI()*BR7*BS7/4)*(BP7^2-BQ7^2))*BT7</f>
        <v>3.9808141531248684</v>
      </c>
      <c r="BV7" s="254">
        <f ca="1">(((BU7/386.4)*(BP7^2+BQ7^2))/8)</f>
        <v>1.1590103318492436E-2</v>
      </c>
      <c r="BW7" s="255" t="e">
        <f ca="1">Ratio</f>
        <v>#N/A</v>
      </c>
      <c r="BX7" s="256" t="e">
        <f ca="1">(BV7/(BW7^2))</f>
        <v>#N/A</v>
      </c>
      <c r="BZ7" s="250" t="s">
        <v>579</v>
      </c>
      <c r="CA7" s="251">
        <v>4</v>
      </c>
      <c r="CB7" s="251">
        <v>1</v>
      </c>
      <c r="CC7" s="251">
        <f ca="1">IF(ROLLWIDTH="Y", VALUE(Width)+1.99, VALUE(Width)*0.5)</f>
        <v>1.99</v>
      </c>
      <c r="CD7" s="251">
        <v>0.28299999999999997</v>
      </c>
      <c r="CE7" s="252">
        <v>1</v>
      </c>
      <c r="CF7" s="253">
        <f ca="1">((PI()*CC7*CD7/4)*(CA7^2-CB7^2))*CE7</f>
        <v>6.6346902552081142</v>
      </c>
      <c r="CG7" s="254">
        <f ca="1">(((CF7/386.4)*(CA7^2+CB7^2))/8)</f>
        <v>3.6487362298957673E-2</v>
      </c>
      <c r="CH7" s="255" t="e">
        <f ca="1">Ratio</f>
        <v>#N/A</v>
      </c>
      <c r="CI7" s="256" t="e">
        <f ca="1">(CG7/(CH7^2))</f>
        <v>#N/A</v>
      </c>
      <c r="CK7" s="250" t="s">
        <v>579</v>
      </c>
      <c r="CL7" s="251">
        <v>4</v>
      </c>
      <c r="CM7" s="251">
        <v>1</v>
      </c>
      <c r="CN7" s="251">
        <f ca="1">IF(ROLLWIDTH="Y", VALUE(Width)+0.49, VALUE(Width)*0.5)</f>
        <v>0.49</v>
      </c>
      <c r="CO7" s="251">
        <v>0.28299999999999997</v>
      </c>
      <c r="CP7" s="252">
        <v>1</v>
      </c>
      <c r="CQ7" s="253">
        <f ca="1">((PI()*CN7*CO7/4)*(CL7^2-CM7^2))*CP7</f>
        <v>1.633667449774862</v>
      </c>
      <c r="CR7" s="254">
        <f ca="1">(((CQ7/386.4)*(CL7^2+CM7^2))/8)</f>
        <v>8.9843253901956063E-3</v>
      </c>
      <c r="CS7" s="255" t="e">
        <f ca="1">Ratio</f>
        <v>#N/A</v>
      </c>
      <c r="CT7" s="256" t="e">
        <f ca="1">(CR7/(CS7^2))</f>
        <v>#N/A</v>
      </c>
      <c r="CV7" s="250" t="s">
        <v>581</v>
      </c>
      <c r="CW7" s="251">
        <v>3.63</v>
      </c>
      <c r="CX7" s="251">
        <v>0</v>
      </c>
      <c r="CY7" s="339">
        <f ca="1">IF(ROLLWIDTH="Y",0,VALUE(Width)*0.5+1.99)</f>
        <v>0</v>
      </c>
      <c r="CZ7" s="251">
        <v>0.28299999999999997</v>
      </c>
      <c r="DA7" s="252">
        <v>1</v>
      </c>
      <c r="DB7" s="253">
        <f ca="1">((PI()*CY7*CZ7/4)*(CW7^2-CX7^2))*DA7</f>
        <v>0</v>
      </c>
      <c r="DC7" s="254">
        <f ca="1">(((DB7/386.4)*(CW7^2+CX7^2))/8)</f>
        <v>0</v>
      </c>
      <c r="DD7" s="255" t="e">
        <f ca="1">Ratio</f>
        <v>#N/A</v>
      </c>
      <c r="DE7" s="256" t="e">
        <f ca="1">(DC7/(DD7^2))</f>
        <v>#N/A</v>
      </c>
      <c r="DG7" s="250" t="s">
        <v>581</v>
      </c>
      <c r="DH7" s="339">
        <v>3.63</v>
      </c>
      <c r="DI7" s="339">
        <v>0</v>
      </c>
      <c r="DJ7" s="339">
        <f ca="1">IF(ROLLWIDTH="Y",0,VALUE(Width)*0.5+1.99)</f>
        <v>0</v>
      </c>
      <c r="DK7" s="254">
        <v>0.28299999999999997</v>
      </c>
      <c r="DL7" s="252">
        <v>1</v>
      </c>
      <c r="DM7" s="340">
        <f ca="1">((PI()*DJ7*DK7/4)*(DH7^2-DI7^2))*DL7</f>
        <v>0</v>
      </c>
      <c r="DN7" s="254">
        <f ca="1">(((DM7/386.4)*(DH7^2+DI7^2))/8)</f>
        <v>0</v>
      </c>
      <c r="DO7" s="255" t="e">
        <f ca="1">Ratio</f>
        <v>#N/A</v>
      </c>
      <c r="DP7" s="256" t="e">
        <f ca="1">(DN7/(DO7^2))</f>
        <v>#N/A</v>
      </c>
      <c r="DR7" s="250"/>
      <c r="DS7" s="255">
        <v>4</v>
      </c>
      <c r="DT7" s="339">
        <v>0</v>
      </c>
      <c r="DU7" s="342">
        <f ca="1">IF(ROLLWIDTH ="Y",0,(VALUE(Width)+1.725)-(VALUE(Width)*0.5))</f>
        <v>0</v>
      </c>
      <c r="DV7" s="251">
        <v>0.28299999999999997</v>
      </c>
      <c r="DW7" s="252">
        <v>1</v>
      </c>
      <c r="DX7" s="340">
        <f ca="1">((PI()*DU7*DV7/4)*(DS7^2-DT7^2))*DW7</f>
        <v>0</v>
      </c>
      <c r="DY7" s="254">
        <f ca="1">(((DX7/386.4)*(DS7^2+DT7^2))/8)</f>
        <v>0</v>
      </c>
      <c r="DZ7" s="341" t="e">
        <f ca="1">Ratio</f>
        <v>#N/A</v>
      </c>
      <c r="EA7" s="256" t="e">
        <f ca="1">(DY7/(DZ7^2))</f>
        <v>#N/A</v>
      </c>
      <c r="EC7" s="250"/>
      <c r="ED7" s="255">
        <v>4.5</v>
      </c>
      <c r="EE7" s="339">
        <v>0</v>
      </c>
      <c r="EF7" s="342">
        <f ca="1">IF(ROLLWIDTH ="Y",0,(VALUE(Width)+1.725)-(VALUE(Width)*0.5))</f>
        <v>0</v>
      </c>
      <c r="EG7" s="251">
        <v>0.28299999999999997</v>
      </c>
      <c r="EH7" s="252">
        <v>1</v>
      </c>
      <c r="EI7" s="340">
        <f ca="1">((PI()*EF7*EG7/4)*(ED7^2-EE7^2))*EH7</f>
        <v>0</v>
      </c>
      <c r="EJ7" s="254">
        <f ca="1">(((EI7/386.4)*(ED7^2+EE7^2))/8)</f>
        <v>0</v>
      </c>
      <c r="EK7" s="341" t="e">
        <f ca="1">Ratio</f>
        <v>#N/A</v>
      </c>
      <c r="EL7" s="256" t="e">
        <f ca="1">(EJ7/(EK7^2))</f>
        <v>#N/A</v>
      </c>
      <c r="EN7" s="250"/>
      <c r="EO7" s="255">
        <v>4.5</v>
      </c>
      <c r="EP7" s="339">
        <v>0</v>
      </c>
      <c r="EQ7" s="342">
        <f ca="1">IF(ROLLWIDTH ="Y",0,(VALUE(Width)+1.725)-(VALUE(Width)*0.5))</f>
        <v>0</v>
      </c>
      <c r="ER7" s="251">
        <v>0.28299999999999997</v>
      </c>
      <c r="ES7" s="252">
        <v>1</v>
      </c>
      <c r="ET7" s="340">
        <f ca="1">((PI()*EQ7*ER7/4)*(EO7^2-EP7^2))*ES7</f>
        <v>0</v>
      </c>
      <c r="EU7" s="254">
        <f ca="1">(((ET7/386.4)*(EO7^2+EP7^2))/8)</f>
        <v>0</v>
      </c>
      <c r="EV7" s="341" t="e">
        <f ca="1">Ratio</f>
        <v>#N/A</v>
      </c>
      <c r="EW7" s="256" t="e">
        <f ca="1">(EU7/(EV7^2))</f>
        <v>#N/A</v>
      </c>
      <c r="EY7" s="250"/>
      <c r="EZ7" s="339">
        <v>6</v>
      </c>
      <c r="FA7" s="339">
        <v>0</v>
      </c>
      <c r="FB7" s="342">
        <v>3</v>
      </c>
      <c r="FC7" s="251">
        <v>0.28299999999999997</v>
      </c>
      <c r="FD7" s="252">
        <v>1</v>
      </c>
      <c r="FE7" s="340">
        <f>((PI()*FB7*FC7/4)*(EZ7^2-FA7^2))*FD7</f>
        <v>24.004909466079607</v>
      </c>
      <c r="FF7" s="254">
        <f>(((FE7/386.4)*(EZ7^2+FA7^2))/8)</f>
        <v>0.27956028104906377</v>
      </c>
      <c r="FG7" s="341" t="e">
        <f ca="1">Ratio</f>
        <v>#N/A</v>
      </c>
      <c r="FH7" s="256" t="e">
        <f ca="1">(FF7/(FG7^2))</f>
        <v>#N/A</v>
      </c>
      <c r="FJ7" s="250"/>
      <c r="FK7" s="339">
        <v>6</v>
      </c>
      <c r="FL7" s="339">
        <v>0</v>
      </c>
      <c r="FM7" s="342">
        <f ca="1">IF(ROLLWIDTH ="Y",0,(VALUE(Width)+1.75)-(VALUE(Width)*0.5))</f>
        <v>0</v>
      </c>
      <c r="FN7" s="251">
        <v>0.28299999999999997</v>
      </c>
      <c r="FO7" s="252">
        <v>1</v>
      </c>
      <c r="FP7" s="340">
        <f ca="1">((PI()*FM7*FN7/4)*(FK7^2-FL7^2))*FO7</f>
        <v>0</v>
      </c>
      <c r="FQ7" s="254">
        <f ca="1">(((FP7/386.4)*(FK7^2+FL7^2))/8)</f>
        <v>0</v>
      </c>
      <c r="FR7" s="341" t="e">
        <f ca="1">Ratio</f>
        <v>#N/A</v>
      </c>
      <c r="FS7" s="256" t="e">
        <f ca="1">(FQ7/(FR7^2))</f>
        <v>#N/A</v>
      </c>
      <c r="FU7" s="250"/>
      <c r="FV7" s="378">
        <v>7</v>
      </c>
      <c r="FW7" s="378">
        <v>0</v>
      </c>
      <c r="FX7" s="379">
        <f ca="1">IF(ROLLWIDTH ="Y",0,(VALUE(Width)+1.75)-(VALUE(Width)*0.5))</f>
        <v>0</v>
      </c>
      <c r="FY7" s="251">
        <v>0.28299999999999997</v>
      </c>
      <c r="FZ7" s="252">
        <v>1</v>
      </c>
      <c r="GA7" s="340">
        <f ca="1">((PI()*FX7*FY7/4)*(FV7^2-FW7^2))*FZ7</f>
        <v>0</v>
      </c>
      <c r="GB7" s="254">
        <f ca="1">(((GA7/386.4)*(FV7^2+FW7^2))/8)</f>
        <v>0</v>
      </c>
      <c r="GC7" s="341" t="e">
        <f ca="1">Ratio</f>
        <v>#N/A</v>
      </c>
      <c r="GD7" s="256" t="e">
        <f ca="1">(GB7/(GC7^2))</f>
        <v>#N/A</v>
      </c>
    </row>
    <row r="8" spans="1:186" ht="15.75" x14ac:dyDescent="0.25">
      <c r="A8" s="250" t="s">
        <v>580</v>
      </c>
      <c r="B8" s="251">
        <v>1</v>
      </c>
      <c r="C8" s="251">
        <v>0</v>
      </c>
      <c r="D8" s="251">
        <v>4.25</v>
      </c>
      <c r="E8" s="251">
        <v>0.28299999999999997</v>
      </c>
      <c r="F8" s="257">
        <v>1</v>
      </c>
      <c r="G8" s="253">
        <f>((PI()*D8*E8/4)*(B8^2-C8^2))*F8</f>
        <v>0.94463764102628089</v>
      </c>
      <c r="H8" s="254">
        <f>(((G8/386.4)*(B8^2+C8^2))/8)</f>
        <v>3.0558929898624515E-4</v>
      </c>
      <c r="I8" s="255" t="e">
        <f ca="1">Ratio</f>
        <v>#N/A</v>
      </c>
      <c r="J8" s="256" t="e">
        <f ca="1">(H8/(I8^2))</f>
        <v>#N/A</v>
      </c>
      <c r="L8" s="250" t="s">
        <v>580</v>
      </c>
      <c r="M8" s="251">
        <v>1</v>
      </c>
      <c r="N8" s="251">
        <v>0</v>
      </c>
      <c r="O8" s="251">
        <v>4.25</v>
      </c>
      <c r="P8" s="251">
        <v>0.28299999999999997</v>
      </c>
      <c r="Q8" s="257">
        <v>1</v>
      </c>
      <c r="R8" s="253">
        <f>((PI()*P8*O8/4)*(M8^2-N8^2))*Q8</f>
        <v>0.94463764102628078</v>
      </c>
      <c r="S8" s="254">
        <f>(((R8/386.4)*(M8^2+N8^2))/8)</f>
        <v>3.055892989862451E-4</v>
      </c>
      <c r="T8" s="255" t="e">
        <f ca="1">Ratio</f>
        <v>#N/A</v>
      </c>
      <c r="U8" s="256" t="e">
        <f ca="1">(S8/(T8^2))</f>
        <v>#N/A</v>
      </c>
      <c r="W8" s="250" t="s">
        <v>580</v>
      </c>
      <c r="X8" s="251">
        <v>1</v>
      </c>
      <c r="Y8" s="251">
        <v>0</v>
      </c>
      <c r="Z8" s="251">
        <v>4.25</v>
      </c>
      <c r="AA8" s="251">
        <v>0.28299999999999997</v>
      </c>
      <c r="AB8" s="257">
        <v>1</v>
      </c>
      <c r="AC8" s="253">
        <f>((PI()*Z8*AA8/4)*(X8^2-Y8^2))*AB8</f>
        <v>0.94463764102628089</v>
      </c>
      <c r="AD8" s="254">
        <f>(((AC8/386.4)*(X8^2+Y8^2))/8)</f>
        <v>3.0558929898624515E-4</v>
      </c>
      <c r="AE8" s="255" t="e">
        <f ca="1">Ratio</f>
        <v>#N/A</v>
      </c>
      <c r="AF8" s="256" t="e">
        <f ca="1">(AD8/(AE8^2))</f>
        <v>#N/A</v>
      </c>
      <c r="AH8" s="250" t="s">
        <v>580</v>
      </c>
      <c r="AI8" s="251">
        <v>1</v>
      </c>
      <c r="AJ8" s="251">
        <v>0</v>
      </c>
      <c r="AK8" s="251">
        <v>4.25</v>
      </c>
      <c r="AL8" s="251">
        <v>0.28299999999999997</v>
      </c>
      <c r="AM8" s="257">
        <v>1</v>
      </c>
      <c r="AN8" s="253">
        <f>((PI()*AK8*AL8/4)*(AI8^2-AJ8^2))*AM8</f>
        <v>0.94463764102628089</v>
      </c>
      <c r="AO8" s="254">
        <f>(((AN8/386.4)*(AI8^2+AJ8^2))/8)</f>
        <v>3.0558929898624515E-4</v>
      </c>
      <c r="AP8" s="255" t="e">
        <f ca="1">Ratio</f>
        <v>#N/A</v>
      </c>
      <c r="AQ8" s="256" t="e">
        <f ca="1">(AO8/(AP8^2))</f>
        <v>#N/A</v>
      </c>
      <c r="AS8" s="250" t="s">
        <v>581</v>
      </c>
      <c r="AT8" s="251">
        <v>2.63</v>
      </c>
      <c r="AU8" s="251">
        <v>0</v>
      </c>
      <c r="AV8" s="251">
        <f ca="1">IF(ROLLWIDTH="Y", 0, VALUE(Width)*0.5+1.99)</f>
        <v>0</v>
      </c>
      <c r="AW8" s="251">
        <v>0.28299999999999997</v>
      </c>
      <c r="AX8" s="257">
        <v>1</v>
      </c>
      <c r="AY8" s="253">
        <f ca="1">((PI()*AV8*AW8/4)*(AT8^2-AU8^2))*AX8</f>
        <v>0</v>
      </c>
      <c r="AZ8" s="254">
        <f ca="1">(((AY8/386.4)*(AT8^2+AU8^2))/8)</f>
        <v>0</v>
      </c>
      <c r="BA8" s="251" t="e">
        <f ca="1">Ratio</f>
        <v>#N/A</v>
      </c>
      <c r="BB8" s="256" t="e">
        <f ca="1">(AZ8/(BA8^2))</f>
        <v>#N/A</v>
      </c>
      <c r="BD8" s="250" t="s">
        <v>581</v>
      </c>
      <c r="BE8" s="251">
        <v>2.63</v>
      </c>
      <c r="BF8" s="251">
        <v>0</v>
      </c>
      <c r="BG8" s="251">
        <f ca="1">IF(ROLLWIDTH="Y", 0, VALUE(Width)*0.5+1.99)</f>
        <v>0</v>
      </c>
      <c r="BH8" s="251">
        <v>0.28299999999999997</v>
      </c>
      <c r="BI8" s="257">
        <v>1</v>
      </c>
      <c r="BJ8" s="253">
        <f ca="1">((PI()*BG8*BH8/4)*(BE8^2-BF8^2))*BI8</f>
        <v>0</v>
      </c>
      <c r="BK8" s="254">
        <f ca="1">(((BJ8/386.4)*(BE8^2+BF8^2))/8)</f>
        <v>0</v>
      </c>
      <c r="BL8" s="251" t="e">
        <f ca="1">Ratio</f>
        <v>#N/A</v>
      </c>
      <c r="BM8" s="256" t="e">
        <f ca="1">(BK8/(BL8^2))</f>
        <v>#N/A</v>
      </c>
      <c r="BO8" s="250" t="s">
        <v>581</v>
      </c>
      <c r="BP8" s="251">
        <v>2.63</v>
      </c>
      <c r="BQ8" s="251">
        <v>0</v>
      </c>
      <c r="BR8" s="251">
        <f ca="1">IF(ROLLWIDTH="Y", 0, VALUE(Width)*0.5+1.99)</f>
        <v>0</v>
      </c>
      <c r="BS8" s="251">
        <v>0.28299999999999997</v>
      </c>
      <c r="BT8" s="257">
        <v>1</v>
      </c>
      <c r="BU8" s="253">
        <f ca="1">((PI()*BR8*BS8/4)*(BP8^2-BQ8^2))*BT8</f>
        <v>0</v>
      </c>
      <c r="BV8" s="254">
        <f ca="1">(((BU8/386.4)*(BP8^2+BQ8^2))/8)</f>
        <v>0</v>
      </c>
      <c r="BW8" s="255" t="e">
        <f ca="1">Ratio</f>
        <v>#N/A</v>
      </c>
      <c r="BX8" s="256" t="e">
        <f ca="1">(BV8/(BW8^2))</f>
        <v>#N/A</v>
      </c>
      <c r="BZ8" s="250" t="s">
        <v>581</v>
      </c>
      <c r="CA8" s="251">
        <v>3.63</v>
      </c>
      <c r="CB8" s="251">
        <v>0</v>
      </c>
      <c r="CC8" s="251">
        <f ca="1">IF(ROLLWIDTH="Y", 0, VALUE(Width)*0.5+1.99)</f>
        <v>0</v>
      </c>
      <c r="CD8" s="251">
        <v>0.28299999999999997</v>
      </c>
      <c r="CE8" s="257">
        <v>1</v>
      </c>
      <c r="CF8" s="253">
        <f ca="1">((PI()*CC8*CD8/4)*(CA8^2-CB8^2))*CE8</f>
        <v>0</v>
      </c>
      <c r="CG8" s="254">
        <f ca="1">(((CF8/386.4)*(CA8^2+CB8^2))/8)</f>
        <v>0</v>
      </c>
      <c r="CH8" s="255" t="e">
        <f ca="1">Ratio</f>
        <v>#N/A</v>
      </c>
      <c r="CI8" s="256" t="e">
        <f ca="1">(CG8/(CH8^2))</f>
        <v>#N/A</v>
      </c>
      <c r="CK8" s="250" t="s">
        <v>581</v>
      </c>
      <c r="CL8" s="251">
        <v>3.63</v>
      </c>
      <c r="CM8" s="251">
        <v>0</v>
      </c>
      <c r="CN8" s="251">
        <f ca="1">IF(ROLLWIDTH="Y", 0, VALUE(Width)*0.5+1.99)</f>
        <v>0</v>
      </c>
      <c r="CO8" s="251">
        <v>0.28299999999999997</v>
      </c>
      <c r="CP8" s="257">
        <v>1</v>
      </c>
      <c r="CQ8" s="253">
        <f ca="1">((PI()*CN8*CO8/4)*(CL8^2-CM8^2))*CP8</f>
        <v>0</v>
      </c>
      <c r="CR8" s="254">
        <f ca="1">(((CQ8/386.4)*(CL8^2+CM8^2))/8)</f>
        <v>0</v>
      </c>
      <c r="CS8" s="255" t="e">
        <f ca="1">Ratio</f>
        <v>#N/A</v>
      </c>
      <c r="CT8" s="256" t="e">
        <f ca="1">(CR8/(CS8^2))</f>
        <v>#N/A</v>
      </c>
      <c r="CV8" s="250" t="s">
        <v>580</v>
      </c>
      <c r="CW8" s="251">
        <v>2.165</v>
      </c>
      <c r="CX8" s="251">
        <v>0</v>
      </c>
      <c r="CY8" s="339">
        <v>7.01</v>
      </c>
      <c r="CZ8" s="251">
        <v>0.28299999999999997</v>
      </c>
      <c r="DA8" s="257">
        <v>1</v>
      </c>
      <c r="DB8" s="253">
        <f>((PI()*CY8*CZ8/4)*(CW8^2-CX8^2))*DA8</f>
        <v>7.3031485789142243</v>
      </c>
      <c r="DC8" s="254">
        <f>(((DB8/386.4)*(CW8^2+CX8^2))/8)</f>
        <v>1.1073855007052675E-2</v>
      </c>
      <c r="DD8" s="255" t="e">
        <f ca="1">Ratio</f>
        <v>#N/A</v>
      </c>
      <c r="DE8" s="256" t="e">
        <f ca="1">(DC8/(DD8^2))</f>
        <v>#N/A</v>
      </c>
      <c r="DG8" s="250" t="s">
        <v>580</v>
      </c>
      <c r="DH8" s="339">
        <v>2.165</v>
      </c>
      <c r="DI8" s="339">
        <v>0</v>
      </c>
      <c r="DJ8" s="339">
        <v>7.01</v>
      </c>
      <c r="DK8" s="254">
        <v>0.28299999999999997</v>
      </c>
      <c r="DL8" s="257">
        <v>1</v>
      </c>
      <c r="DM8" s="340">
        <f>((PI()*DJ8*DK8/4)*(DH8^2-DI8^2))*DL8</f>
        <v>7.3031485789142243</v>
      </c>
      <c r="DN8" s="254">
        <f>(((DM8/386.4)*(DH8^2+DI8^2))/8)</f>
        <v>1.1073855007052675E-2</v>
      </c>
      <c r="DO8" s="255" t="e">
        <f ca="1">Ratio</f>
        <v>#N/A</v>
      </c>
      <c r="DP8" s="256" t="e">
        <f ca="1">(DN8/(DO8^2))</f>
        <v>#N/A</v>
      </c>
      <c r="DR8" s="250" t="s">
        <v>580</v>
      </c>
      <c r="DS8" s="255">
        <v>2.165</v>
      </c>
      <c r="DT8" s="339">
        <v>0</v>
      </c>
      <c r="DU8" s="342">
        <v>4.6500000000000004</v>
      </c>
      <c r="DV8" s="251">
        <v>0.28299999999999997</v>
      </c>
      <c r="DW8" s="252">
        <v>1</v>
      </c>
      <c r="DX8" s="340">
        <f>((PI()*DU8*DV8/4)*(DS8^2-DT8^2))*DW8</f>
        <v>4.8444566179673538</v>
      </c>
      <c r="DY8" s="254">
        <f>(((DX8/386.4)*(DS8^2+DT8^2))/8)</f>
        <v>7.3457098120962823E-3</v>
      </c>
      <c r="DZ8" s="341" t="e">
        <f ca="1">Ratio</f>
        <v>#N/A</v>
      </c>
      <c r="EA8" s="256" t="e">
        <f ca="1">(DY8/(DZ8^2))</f>
        <v>#N/A</v>
      </c>
      <c r="EC8" s="250" t="s">
        <v>580</v>
      </c>
      <c r="ED8" s="255">
        <v>2.7549999999999999</v>
      </c>
      <c r="EE8" s="339">
        <v>0</v>
      </c>
      <c r="EF8" s="339">
        <v>4.6500000000000004</v>
      </c>
      <c r="EG8" s="251">
        <v>0.28299999999999997</v>
      </c>
      <c r="EH8" s="252">
        <v>1</v>
      </c>
      <c r="EI8" s="340">
        <f>((PI()*EF8*EG8/4)*(ED8^2-EE8^2))*EH8</f>
        <v>7.8446302112204274</v>
      </c>
      <c r="EJ8" s="254">
        <f>(((EI8/386.4)*(ED8^2+EE8^2))/8)</f>
        <v>1.9261432265436831E-2</v>
      </c>
      <c r="EK8" s="341" t="e">
        <f ca="1">Ratio</f>
        <v>#N/A</v>
      </c>
      <c r="EL8" s="256" t="e">
        <f ca="1">(EJ8/(EK8^2))</f>
        <v>#N/A</v>
      </c>
      <c r="EN8" s="250" t="s">
        <v>580</v>
      </c>
      <c r="EO8" s="255">
        <v>2.7549999999999999</v>
      </c>
      <c r="EP8" s="339">
        <v>0</v>
      </c>
      <c r="EQ8" s="339">
        <v>4.6500000000000004</v>
      </c>
      <c r="ER8" s="251">
        <v>0.28299999999999997</v>
      </c>
      <c r="ES8" s="252">
        <v>1</v>
      </c>
      <c r="ET8" s="340">
        <f>((PI()*EQ8*ER8/4)*(EO8^2-EP8^2))*ES8</f>
        <v>7.8446302112204274</v>
      </c>
      <c r="EU8" s="254">
        <f>(((ET8/386.4)*(EO8^2+EP8^2))/8)</f>
        <v>1.9261432265436831E-2</v>
      </c>
      <c r="EV8" s="341" t="e">
        <f ca="1">Ratio</f>
        <v>#N/A</v>
      </c>
      <c r="EW8" s="256" t="e">
        <f ca="1">(EU8/(EV8^2))</f>
        <v>#N/A</v>
      </c>
      <c r="EY8" s="250" t="s">
        <v>580</v>
      </c>
      <c r="EZ8" s="339">
        <v>2.75</v>
      </c>
      <c r="FA8" s="339">
        <v>0</v>
      </c>
      <c r="FB8" s="339">
        <v>4.6500000000000004</v>
      </c>
      <c r="FC8" s="251">
        <v>0.28299999999999997</v>
      </c>
      <c r="FD8" s="252">
        <v>1</v>
      </c>
      <c r="FE8" s="340">
        <f>((PI()*FB8*FC8/4)*(EZ8^2-FA8^2))*FD8</f>
        <v>7.8161818929917199</v>
      </c>
      <c r="FF8" s="254">
        <f>(((FE8/386.4)*(EZ8^2+FA8^2))/8)</f>
        <v>1.9121983555172712E-2</v>
      </c>
      <c r="FG8" s="341" t="e">
        <f ca="1">Ratio</f>
        <v>#N/A</v>
      </c>
      <c r="FH8" s="256" t="e">
        <f ca="1">(FF8/(FG8^2))</f>
        <v>#N/A</v>
      </c>
      <c r="FJ8" s="250" t="s">
        <v>580</v>
      </c>
      <c r="FK8" s="339">
        <v>2.75</v>
      </c>
      <c r="FL8" s="339">
        <v>0</v>
      </c>
      <c r="FM8" s="339">
        <v>4.63</v>
      </c>
      <c r="FN8" s="251">
        <v>0.28299999999999997</v>
      </c>
      <c r="FO8" s="252">
        <v>1</v>
      </c>
      <c r="FP8" s="340">
        <f>((PI()*FM8*FN8/4)*(FK8^2-FL8^2))*FO8</f>
        <v>7.7825639063551959</v>
      </c>
      <c r="FQ8" s="254">
        <f>(((FP8/386.4)*(FK8^2+FL8^2))/8)</f>
        <v>1.9039738464612828E-2</v>
      </c>
      <c r="FR8" s="341" t="e">
        <f ca="1">Ratio</f>
        <v>#N/A</v>
      </c>
      <c r="FS8" s="256" t="e">
        <f ca="1">(FQ8/(FR8^2))</f>
        <v>#N/A</v>
      </c>
      <c r="FU8" s="250" t="s">
        <v>580</v>
      </c>
      <c r="FV8" s="378">
        <v>3.54</v>
      </c>
      <c r="FW8" s="378">
        <v>0</v>
      </c>
      <c r="FX8" s="379">
        <v>5</v>
      </c>
      <c r="FY8" s="251">
        <v>0.28299999999999997</v>
      </c>
      <c r="FZ8" s="252">
        <v>1</v>
      </c>
      <c r="GA8" s="340">
        <f>((PI()*FX8*FY8/4)*(FV8^2-FW8^2))*FZ8</f>
        <v>13.92684830857052</v>
      </c>
      <c r="GB8" s="254">
        <f>(((GA8/386.4)*(FV8^2+FW8^2))/8)</f>
        <v>5.6458880778882746E-2</v>
      </c>
      <c r="GC8" s="341" t="e">
        <f ca="1">Ratio</f>
        <v>#N/A</v>
      </c>
      <c r="GD8" s="256" t="e">
        <f ca="1">(GB8/(GC8^2))</f>
        <v>#N/A</v>
      </c>
    </row>
    <row r="9" spans="1:186" ht="15.75" x14ac:dyDescent="0.25">
      <c r="A9" s="250"/>
      <c r="B9" s="251"/>
      <c r="C9" s="251"/>
      <c r="D9" s="251"/>
      <c r="E9" s="251"/>
      <c r="F9" s="245"/>
      <c r="G9" s="253"/>
      <c r="H9" s="254"/>
      <c r="I9" s="255"/>
      <c r="J9" s="256"/>
      <c r="L9" s="250"/>
      <c r="M9" s="251"/>
      <c r="N9" s="251"/>
      <c r="O9" s="251"/>
      <c r="P9" s="251"/>
      <c r="Q9" s="245"/>
      <c r="R9" s="253"/>
      <c r="S9" s="254"/>
      <c r="T9" s="255"/>
      <c r="U9" s="256"/>
      <c r="W9" s="250"/>
      <c r="X9" s="251"/>
      <c r="Y9" s="251"/>
      <c r="Z9" s="251"/>
      <c r="AA9" s="251"/>
      <c r="AB9" s="245"/>
      <c r="AC9" s="253"/>
      <c r="AD9" s="254"/>
      <c r="AE9" s="255"/>
      <c r="AF9" s="256"/>
      <c r="AH9" s="250"/>
      <c r="AI9" s="251"/>
      <c r="AJ9" s="251"/>
      <c r="AK9" s="251"/>
      <c r="AL9" s="251"/>
      <c r="AM9" s="245"/>
      <c r="AN9" s="253"/>
      <c r="AO9" s="254"/>
      <c r="AP9" s="245"/>
      <c r="AQ9" s="245"/>
      <c r="AS9" s="250" t="s">
        <v>580</v>
      </c>
      <c r="AT9" s="251">
        <v>1.5745</v>
      </c>
      <c r="AU9" s="251">
        <v>0</v>
      </c>
      <c r="AV9" s="251">
        <v>6.14</v>
      </c>
      <c r="AW9" s="251">
        <v>0.28299999999999997</v>
      </c>
      <c r="AX9" s="257">
        <v>1</v>
      </c>
      <c r="AY9" s="253">
        <f>((PI()*AV9*AW9/4)*(AT9^2-AU9^2))*AX9</f>
        <v>3.3832182743750723</v>
      </c>
      <c r="AZ9" s="254">
        <f>(((AY9/386.4)*(AT9^2+AU9^2))/8)</f>
        <v>2.7132402008585963E-3</v>
      </c>
      <c r="BA9" s="251" t="e">
        <f ca="1">Ratio</f>
        <v>#N/A</v>
      </c>
      <c r="BB9" s="256" t="e">
        <f ca="1">(AZ9/(BA9^2))</f>
        <v>#N/A</v>
      </c>
      <c r="BD9" s="250" t="s">
        <v>580</v>
      </c>
      <c r="BE9" s="251">
        <v>1.5745</v>
      </c>
      <c r="BF9" s="251">
        <v>0</v>
      </c>
      <c r="BG9" s="251">
        <v>6.14</v>
      </c>
      <c r="BH9" s="251">
        <v>0.28299999999999997</v>
      </c>
      <c r="BI9" s="257">
        <v>1</v>
      </c>
      <c r="BJ9" s="253">
        <f>((PI()*BG9*BH9/4)*(BE9^2-BF9^2))*BI9</f>
        <v>3.3832182743750723</v>
      </c>
      <c r="BK9" s="254">
        <f>(((BJ9/386.4)*(BE9^2+BF9^2))/8)</f>
        <v>2.7132402008585963E-3</v>
      </c>
      <c r="BL9" s="251" t="e">
        <f ca="1">Ratio</f>
        <v>#N/A</v>
      </c>
      <c r="BM9" s="256" t="e">
        <f ca="1">(BK9/(BL9^2))</f>
        <v>#N/A</v>
      </c>
      <c r="BO9" s="250" t="s">
        <v>580</v>
      </c>
      <c r="BP9" s="251">
        <v>1.5745</v>
      </c>
      <c r="BQ9" s="251">
        <v>0</v>
      </c>
      <c r="BR9" s="251">
        <v>7.01</v>
      </c>
      <c r="BS9" s="251">
        <v>0.28299999999999997</v>
      </c>
      <c r="BT9" s="257">
        <v>1</v>
      </c>
      <c r="BU9" s="253">
        <f>((PI()*BR9*BS9/4)*(BP9^2-BQ9^2))*BT9</f>
        <v>3.8625993653695856</v>
      </c>
      <c r="BV9" s="254">
        <f>(((BU9/386.4)*(BP9^2+BQ9^2))/8)</f>
        <v>3.0976895452799278E-3</v>
      </c>
      <c r="BW9" s="255" t="e">
        <f ca="1">Ratio</f>
        <v>#N/A</v>
      </c>
      <c r="BX9" s="256" t="e">
        <f ca="1">(BV9/(BW9^2))</f>
        <v>#N/A</v>
      </c>
      <c r="BZ9" s="250" t="s">
        <v>580</v>
      </c>
      <c r="CA9" s="251">
        <v>2.165</v>
      </c>
      <c r="CB9" s="251">
        <v>0</v>
      </c>
      <c r="CC9" s="251">
        <v>7.01</v>
      </c>
      <c r="CD9" s="251">
        <v>0.28299999999999997</v>
      </c>
      <c r="CE9" s="257">
        <v>1</v>
      </c>
      <c r="CF9" s="253">
        <f>((PI()*CC9*CD9/4)*(CA9^2-CB9^2))*CE9</f>
        <v>7.3031485789142243</v>
      </c>
      <c r="CG9" s="254">
        <f>(((CF9/386.4)*(CA9^2+CB9^2))/8)</f>
        <v>1.1073855007052675E-2</v>
      </c>
      <c r="CH9" s="255" t="e">
        <f ca="1">Ratio</f>
        <v>#N/A</v>
      </c>
      <c r="CI9" s="256" t="e">
        <f ca="1">(CG9/(CH9^2))</f>
        <v>#N/A</v>
      </c>
      <c r="CK9" s="250" t="s">
        <v>580</v>
      </c>
      <c r="CL9" s="251">
        <v>2.165</v>
      </c>
      <c r="CM9" s="251">
        <v>0</v>
      </c>
      <c r="CN9" s="251">
        <v>7.01</v>
      </c>
      <c r="CO9" s="251">
        <v>0.28299999999999997</v>
      </c>
      <c r="CP9" s="257">
        <v>1</v>
      </c>
      <c r="CQ9" s="253">
        <f>((PI()*CN9*CO9/4)*(CL9^2-CM9^2))*CP9</f>
        <v>7.3031485789142243</v>
      </c>
      <c r="CR9" s="254">
        <f>(((CQ9/386.4)*(CL9^2+CM9^2))/8)</f>
        <v>1.1073855007052675E-2</v>
      </c>
      <c r="CS9" s="255" t="e">
        <f ca="1">Ratio</f>
        <v>#N/A</v>
      </c>
      <c r="CT9" s="256" t="e">
        <f ca="1">(CR9/(CS9^2))</f>
        <v>#N/A</v>
      </c>
      <c r="CV9" s="250"/>
      <c r="CW9" s="251"/>
      <c r="CX9" s="251"/>
      <c r="CY9" s="339"/>
      <c r="CZ9" s="251"/>
      <c r="DA9" s="257"/>
      <c r="DB9" s="253"/>
      <c r="DC9" s="254"/>
      <c r="DD9" s="255"/>
      <c r="DE9" s="256"/>
      <c r="DG9" s="250"/>
      <c r="DH9" s="339"/>
      <c r="DI9" s="339"/>
      <c r="DJ9" s="339"/>
      <c r="DK9" s="254"/>
      <c r="DL9" s="257"/>
      <c r="DM9" s="340"/>
      <c r="DN9" s="254"/>
      <c r="DO9" s="255"/>
      <c r="DP9" s="256"/>
      <c r="DR9" s="250"/>
      <c r="DS9" s="341"/>
      <c r="DT9" s="341"/>
      <c r="DU9" s="258"/>
      <c r="DV9" s="251"/>
      <c r="DW9" s="252"/>
      <c r="DX9" s="340"/>
      <c r="DY9" s="254"/>
      <c r="DZ9" s="341"/>
      <c r="EA9" s="256"/>
      <c r="EC9" s="250"/>
      <c r="ED9" s="255">
        <v>2</v>
      </c>
      <c r="EE9" s="339">
        <v>0</v>
      </c>
      <c r="EF9" s="339">
        <v>3.52</v>
      </c>
      <c r="EG9" s="251">
        <v>0.28299999999999997</v>
      </c>
      <c r="EH9" s="252">
        <v>1</v>
      </c>
      <c r="EI9" s="340">
        <f>((PI()*EF9*EG9/4)*(ED9^2-EE9^2))*EH9</f>
        <v>3.129528937800008</v>
      </c>
      <c r="EJ9" s="254">
        <f>(((EI9/386.4)*(ED9^2+EE9^2))/8)</f>
        <v>4.0495974868012524E-3</v>
      </c>
      <c r="EK9" s="341" t="e">
        <f ca="1">Ratio</f>
        <v>#N/A</v>
      </c>
      <c r="EL9" s="256" t="e">
        <f ca="1">(EJ9/(EK9^2))</f>
        <v>#N/A</v>
      </c>
      <c r="EN9" s="250"/>
      <c r="EO9" s="255">
        <v>2</v>
      </c>
      <c r="EP9" s="339">
        <v>0</v>
      </c>
      <c r="EQ9" s="339">
        <v>3.52</v>
      </c>
      <c r="ER9" s="251">
        <v>0.28299999999999997</v>
      </c>
      <c r="ES9" s="252">
        <v>1</v>
      </c>
      <c r="ET9" s="340">
        <f>((PI()*EQ9*ER9/4)*(EO9^2-EP9^2))*ES9</f>
        <v>3.129528937800008</v>
      </c>
      <c r="EU9" s="254">
        <f>(((ET9/386.4)*(EO9^2+EP9^2))/8)</f>
        <v>4.0495974868012524E-3</v>
      </c>
      <c r="EV9" s="341" t="e">
        <f ca="1">Ratio</f>
        <v>#N/A</v>
      </c>
      <c r="EW9" s="256" t="e">
        <f ca="1">(EU9/(EV9^2))</f>
        <v>#N/A</v>
      </c>
      <c r="EY9" s="250"/>
      <c r="EZ9" s="339">
        <v>2</v>
      </c>
      <c r="FA9" s="339">
        <v>0</v>
      </c>
      <c r="FB9" s="339">
        <v>3.52</v>
      </c>
      <c r="FC9" s="251">
        <v>0.28299999999999997</v>
      </c>
      <c r="FD9" s="252">
        <v>1</v>
      </c>
      <c r="FE9" s="340">
        <f>((PI()*FB9*FC9/4)*(EZ9^2-FA9^2))*FD9</f>
        <v>3.129528937800008</v>
      </c>
      <c r="FF9" s="254">
        <f>(((FE9/386.4)*(EZ9^2+FA9^2))/8)</f>
        <v>4.0495974868012524E-3</v>
      </c>
      <c r="FG9" s="341" t="e">
        <f ca="1">Ratio</f>
        <v>#N/A</v>
      </c>
      <c r="FH9" s="256" t="e">
        <f ca="1">(FF9/(FG9^2))</f>
        <v>#N/A</v>
      </c>
      <c r="FJ9" s="250"/>
      <c r="FK9" s="339">
        <v>2</v>
      </c>
      <c r="FL9" s="339">
        <v>0</v>
      </c>
      <c r="FM9" s="339">
        <v>3.52</v>
      </c>
      <c r="FN9" s="251">
        <v>0.28299999999999997</v>
      </c>
      <c r="FO9" s="252">
        <v>1</v>
      </c>
      <c r="FP9" s="340">
        <f>((PI()*FM9*FN9/4)*(FK9^2-FL9^2))*FO9</f>
        <v>3.129528937800008</v>
      </c>
      <c r="FQ9" s="254">
        <f>(((FP9/386.4)*(FK9^2+FL9^2))/8)</f>
        <v>4.0495974868012524E-3</v>
      </c>
      <c r="FR9" s="341" t="e">
        <f ca="1">Ratio</f>
        <v>#N/A</v>
      </c>
      <c r="FS9" s="256" t="e">
        <f ca="1">(FQ9/(FR9^2))</f>
        <v>#N/A</v>
      </c>
      <c r="FU9" s="250"/>
      <c r="FV9" s="378">
        <v>2</v>
      </c>
      <c r="FW9" s="378">
        <v>0</v>
      </c>
      <c r="FX9" s="380">
        <v>3.52</v>
      </c>
      <c r="FY9" s="251">
        <v>0.28299999999999997</v>
      </c>
      <c r="FZ9" s="252">
        <v>1</v>
      </c>
      <c r="GA9" s="340">
        <f>((PI()*FX9*FY9/4)*(FV9^2-FW9^2))*FZ9</f>
        <v>3.129528937800008</v>
      </c>
      <c r="GB9" s="254">
        <f>(((GA9/386.4)*(FV9^2+FW9^2))/8)</f>
        <v>4.0495974868012524E-3</v>
      </c>
      <c r="GC9" s="341" t="e">
        <f ca="1">Ratio</f>
        <v>#N/A</v>
      </c>
      <c r="GD9" s="256" t="e">
        <f ca="1">(GB9/(GC9^2))</f>
        <v>#N/A</v>
      </c>
    </row>
    <row r="10" spans="1:186" ht="15.75" x14ac:dyDescent="0.25">
      <c r="A10" s="250" t="s">
        <v>582</v>
      </c>
      <c r="B10" s="251">
        <v>2.25</v>
      </c>
      <c r="C10" s="251">
        <v>0</v>
      </c>
      <c r="D10" s="251">
        <f ca="1">VALUE(Width)+2.5</f>
        <v>2.5</v>
      </c>
      <c r="E10" s="251">
        <v>0.28299999999999997</v>
      </c>
      <c r="F10" s="257">
        <v>1</v>
      </c>
      <c r="G10" s="253">
        <f ca="1">((PI()*D10*E10/4)*(B10^2-C10^2))*F10</f>
        <v>2.813075328056204</v>
      </c>
      <c r="H10" s="254">
        <f ca="1">(((G10/386.4)*(B10^2+C10^2))/8)</f>
        <v>4.6070114674833509E-3</v>
      </c>
      <c r="I10" s="255" t="e">
        <f ca="1">Ratio</f>
        <v>#N/A</v>
      </c>
      <c r="J10" s="256" t="e">
        <f ca="1">(H10/(I10^2))</f>
        <v>#N/A</v>
      </c>
      <c r="L10" s="250" t="s">
        <v>582</v>
      </c>
      <c r="M10" s="251">
        <v>2.25</v>
      </c>
      <c r="N10" s="251">
        <v>0</v>
      </c>
      <c r="O10" s="251">
        <f ca="1">VALUE(Width)+2.5</f>
        <v>2.5</v>
      </c>
      <c r="P10" s="251">
        <v>0.28299999999999997</v>
      </c>
      <c r="Q10" s="257">
        <v>1</v>
      </c>
      <c r="R10" s="253">
        <f ca="1">((PI()*P10*O10/4)*(M10^2-N10^2))*Q10</f>
        <v>2.813075328056204</v>
      </c>
      <c r="S10" s="254">
        <f ca="1">(((R10/386.4)*(M10^2+N10^2))/8)</f>
        <v>4.6070114674833509E-3</v>
      </c>
      <c r="T10" s="255" t="e">
        <f ca="1">Ratio</f>
        <v>#N/A</v>
      </c>
      <c r="U10" s="256" t="e">
        <f ca="1">(S10/(T10^2))</f>
        <v>#N/A</v>
      </c>
      <c r="W10" s="250" t="s">
        <v>582</v>
      </c>
      <c r="X10" s="251">
        <v>2.625</v>
      </c>
      <c r="Y10" s="251">
        <v>0</v>
      </c>
      <c r="Z10" s="251">
        <f ca="1">VALUE(Width)+2.5</f>
        <v>2.5</v>
      </c>
      <c r="AA10" s="251">
        <v>0.28299999999999997</v>
      </c>
      <c r="AB10" s="257">
        <v>1</v>
      </c>
      <c r="AC10" s="253">
        <f ca="1">((PI()*Z10*AA10/4)*(X10^2-Y10^2))*AB10</f>
        <v>3.8289080854098332</v>
      </c>
      <c r="AD10" s="254">
        <f ca="1">(((AC10/386.4)*(X10^2+Y10^2))/8)</f>
        <v>8.5350575103607454E-3</v>
      </c>
      <c r="AE10" s="255" t="e">
        <f ca="1">Ratio</f>
        <v>#N/A</v>
      </c>
      <c r="AF10" s="256" t="e">
        <f ca="1">(AD10/(AE10^2))</f>
        <v>#N/A</v>
      </c>
      <c r="AH10" s="250" t="s">
        <v>582</v>
      </c>
      <c r="AI10" s="251">
        <v>2.625</v>
      </c>
      <c r="AJ10" s="251">
        <v>0</v>
      </c>
      <c r="AK10" s="251">
        <f ca="1">VALUE(Width)+2.5</f>
        <v>2.5</v>
      </c>
      <c r="AL10" s="251">
        <v>0.28299999999999997</v>
      </c>
      <c r="AM10" s="257">
        <v>1</v>
      </c>
      <c r="AN10" s="253">
        <f ca="1">((PI()*AK10*AL10/4)*(AI10^2-AJ10^2))*AM10</f>
        <v>3.8289080854098332</v>
      </c>
      <c r="AO10" s="254">
        <f ca="1">(((AN10/386.4)*(AI10^2+AJ10^2))/8)</f>
        <v>8.5350575103607454E-3</v>
      </c>
      <c r="AP10" s="255" t="e">
        <f ca="1">Ratio</f>
        <v>#N/A</v>
      </c>
      <c r="AQ10" s="256" t="e">
        <f ca="1">(AO10/(AP10^2))</f>
        <v>#N/A</v>
      </c>
      <c r="AS10" s="250"/>
      <c r="AT10" s="251"/>
      <c r="AU10" s="251"/>
      <c r="AV10" s="251"/>
      <c r="AW10" s="251"/>
      <c r="AX10" s="245"/>
      <c r="AY10" s="253"/>
      <c r="AZ10" s="254"/>
      <c r="BA10" s="251"/>
      <c r="BB10" s="256"/>
      <c r="BD10" s="250"/>
      <c r="BE10" s="251"/>
      <c r="BF10" s="251"/>
      <c r="BG10" s="251"/>
      <c r="BH10" s="251"/>
      <c r="BI10" s="245"/>
      <c r="BJ10" s="253"/>
      <c r="BK10" s="254"/>
      <c r="BL10" s="251"/>
      <c r="BM10" s="245"/>
      <c r="BO10" s="250"/>
      <c r="BP10" s="251"/>
      <c r="BQ10" s="251"/>
      <c r="BR10" s="251"/>
      <c r="BS10" s="251"/>
      <c r="BT10" s="245"/>
      <c r="BU10" s="253"/>
      <c r="BV10" s="254"/>
      <c r="BW10" s="245"/>
      <c r="BX10" s="245"/>
      <c r="BZ10" s="250"/>
      <c r="CA10" s="251"/>
      <c r="CB10" s="251"/>
      <c r="CC10" s="251"/>
      <c r="CD10" s="251"/>
      <c r="CE10" s="245"/>
      <c r="CF10" s="253"/>
      <c r="CG10" s="254"/>
      <c r="CH10" s="245"/>
      <c r="CI10" s="245"/>
      <c r="CK10" s="250"/>
      <c r="CL10" s="251"/>
      <c r="CM10" s="251"/>
      <c r="CN10" s="251"/>
      <c r="CO10" s="251"/>
      <c r="CP10" s="245"/>
      <c r="CQ10" s="253"/>
      <c r="CR10" s="254"/>
      <c r="CS10" s="245"/>
      <c r="CT10" s="245"/>
      <c r="CV10" s="250" t="s">
        <v>583</v>
      </c>
      <c r="CW10" s="251">
        <v>4</v>
      </c>
      <c r="CX10" s="251">
        <v>0</v>
      </c>
      <c r="CY10" s="339">
        <f ca="1">IF(ROLLWIDTH="Y",VALUE(Width)+0.5,VALUE(Width)*0.5)</f>
        <v>0.5</v>
      </c>
      <c r="CZ10" s="251">
        <v>0.28299999999999997</v>
      </c>
      <c r="DA10" s="257">
        <v>1</v>
      </c>
      <c r="DB10" s="253">
        <f ca="1">((PI()*CY10*CZ10/4)*(CW10^2-CX10^2))*DA10</f>
        <v>1.7781414419318227</v>
      </c>
      <c r="DC10" s="254">
        <f ca="1">(((DB10/386.4)*(CW10^2+CX10^2))/8)</f>
        <v>9.2036306518210285E-3</v>
      </c>
      <c r="DD10" s="255" t="e">
        <f ca="1">Ratio</f>
        <v>#N/A</v>
      </c>
      <c r="DE10" s="256" t="e">
        <f ca="1">(DC10/(DD10^2))</f>
        <v>#N/A</v>
      </c>
      <c r="DG10" s="250" t="s">
        <v>583</v>
      </c>
      <c r="DH10" s="339">
        <v>4</v>
      </c>
      <c r="DI10" s="339">
        <v>0</v>
      </c>
      <c r="DJ10" s="339">
        <f ca="1">IF(ROLLWIDTH="Y",VALUE(Width)+0.5,VALUE(Width)*0.5)</f>
        <v>0.5</v>
      </c>
      <c r="DK10" s="254">
        <v>0.28299999999999997</v>
      </c>
      <c r="DL10" s="245">
        <v>1</v>
      </c>
      <c r="DM10" s="340">
        <f ca="1">((PI()*DJ10*DK10/4)*(DH10^2-DI10^2))*DL10</f>
        <v>1.7781414419318227</v>
      </c>
      <c r="DN10" s="254">
        <f ca="1">(((DM10/386.4)*(DH10^2+DI10^2))/8)</f>
        <v>9.2036306518210285E-3</v>
      </c>
      <c r="DO10" s="255" t="e">
        <f ca="1">Ratio</f>
        <v>#N/A</v>
      </c>
      <c r="DP10" s="256" t="e">
        <f ca="1">(DN10/(DO10^2))</f>
        <v>#N/A</v>
      </c>
      <c r="DR10" s="250" t="s">
        <v>582</v>
      </c>
      <c r="DS10" s="255">
        <v>5</v>
      </c>
      <c r="DT10" s="339">
        <v>0</v>
      </c>
      <c r="DU10" s="258">
        <f ca="1">IF(ROLLWIDTH="Y",VALUE(Width)+1,VALUE(Width)*0.5)</f>
        <v>1</v>
      </c>
      <c r="DV10" s="251">
        <v>0.28299999999999997</v>
      </c>
      <c r="DW10" s="252">
        <v>1</v>
      </c>
      <c r="DX10" s="340">
        <f ca="1">((PI()*DU10*DV10/4)*(DS10^2-DT10^2))*DW10</f>
        <v>5.556692006036946</v>
      </c>
      <c r="DY10" s="254">
        <f ca="1">(((DX10/386.4)*(DS10^2+DT10^2))/8)</f>
        <v>4.4939602792094864E-2</v>
      </c>
      <c r="DZ10" s="341" t="e">
        <f ca="1">Ratio</f>
        <v>#N/A</v>
      </c>
      <c r="EA10" s="256" t="e">
        <f ca="1">(DY10/(DZ10^2))</f>
        <v>#N/A</v>
      </c>
      <c r="EZ10" s="339"/>
      <c r="FA10" s="339"/>
      <c r="FJ10" s="250"/>
      <c r="FK10" s="339"/>
      <c r="FL10" s="339"/>
      <c r="FU10" s="250"/>
      <c r="FV10" s="379"/>
      <c r="FW10" s="379"/>
      <c r="FX10" s="2"/>
    </row>
    <row r="11" spans="1:186" ht="15.75" x14ac:dyDescent="0.25">
      <c r="A11" s="250" t="s">
        <v>580</v>
      </c>
      <c r="B11" s="251">
        <v>1</v>
      </c>
      <c r="C11" s="251">
        <v>0</v>
      </c>
      <c r="D11" s="251">
        <v>5.5</v>
      </c>
      <c r="E11" s="251">
        <v>0.28299999999999997</v>
      </c>
      <c r="F11" s="257">
        <v>1</v>
      </c>
      <c r="G11" s="253">
        <f>((PI()*D11*E11/4)*(B11^2-C11^2))*F11</f>
        <v>1.2224722413281279</v>
      </c>
      <c r="H11" s="254">
        <f>(((G11/386.4)*(B11^2+C11^2))/8)</f>
        <v>3.9546850457043481E-4</v>
      </c>
      <c r="I11" s="255" t="e">
        <f ca="1">Ratio</f>
        <v>#N/A</v>
      </c>
      <c r="J11" s="256" t="e">
        <f ca="1">(H11/(I11^2))</f>
        <v>#N/A</v>
      </c>
      <c r="L11" s="250" t="s">
        <v>580</v>
      </c>
      <c r="M11" s="251">
        <v>1</v>
      </c>
      <c r="N11" s="251">
        <v>0</v>
      </c>
      <c r="O11" s="251">
        <v>5.5</v>
      </c>
      <c r="P11" s="251">
        <v>0.28299999999999997</v>
      </c>
      <c r="Q11" s="257">
        <v>1</v>
      </c>
      <c r="R11" s="253">
        <f>((PI()*P11*O11/4)*(M11^2-N11^2))*Q11</f>
        <v>1.2224722413281282</v>
      </c>
      <c r="S11" s="254">
        <f>(((R11/386.4)*(M11^2+N11^2))/8)</f>
        <v>3.9546850457043486E-4</v>
      </c>
      <c r="T11" s="255" t="e">
        <f ca="1">Ratio</f>
        <v>#N/A</v>
      </c>
      <c r="U11" s="256" t="e">
        <f ca="1">(S11/(T11^2))</f>
        <v>#N/A</v>
      </c>
      <c r="W11" s="250" t="s">
        <v>580</v>
      </c>
      <c r="X11" s="251">
        <v>1</v>
      </c>
      <c r="Y11" s="251">
        <v>0</v>
      </c>
      <c r="Z11" s="251">
        <v>5.5</v>
      </c>
      <c r="AA11" s="251">
        <v>0.28299999999999997</v>
      </c>
      <c r="AB11" s="257">
        <v>1</v>
      </c>
      <c r="AC11" s="253">
        <f>((PI()*Z11*AA11/4)*(X11^2-Y11^2))*AB11</f>
        <v>1.2224722413281279</v>
      </c>
      <c r="AD11" s="254">
        <f>(((AC11/386.4)*(X11^2+Y11^2))/8)</f>
        <v>3.9546850457043481E-4</v>
      </c>
      <c r="AE11" s="255" t="e">
        <f ca="1">Ratio</f>
        <v>#N/A</v>
      </c>
      <c r="AF11" s="256" t="e">
        <f ca="1">(AD11/(AE11^2))</f>
        <v>#N/A</v>
      </c>
      <c r="AH11" s="250" t="s">
        <v>580</v>
      </c>
      <c r="AI11" s="251">
        <v>1</v>
      </c>
      <c r="AJ11" s="251">
        <v>0</v>
      </c>
      <c r="AK11" s="251">
        <v>5.5</v>
      </c>
      <c r="AL11" s="251">
        <v>0.28299999999999997</v>
      </c>
      <c r="AM11" s="257">
        <v>1</v>
      </c>
      <c r="AN11" s="253">
        <f>((PI()*AK11*AL11/4)*(AI11^2-AJ11^2))*AM11</f>
        <v>1.2224722413281279</v>
      </c>
      <c r="AO11" s="254">
        <f>(((AN11/386.4)*(AI11^2+AJ11^2))/8)</f>
        <v>3.9546850457043481E-4</v>
      </c>
      <c r="AP11" s="255" t="e">
        <f ca="1">Ratio</f>
        <v>#N/A</v>
      </c>
      <c r="AQ11" s="256" t="e">
        <f ca="1">(AO11/(AP11^2))</f>
        <v>#N/A</v>
      </c>
      <c r="AS11" s="250" t="s">
        <v>583</v>
      </c>
      <c r="AT11" s="251">
        <v>3</v>
      </c>
      <c r="AU11" s="251">
        <v>0</v>
      </c>
      <c r="AV11" s="251">
        <f ca="1">IF( ROLLWIDTH="Y",VALUE(Width) + 0.5,VALUE(Width)*0.5)</f>
        <v>0.5</v>
      </c>
      <c r="AW11" s="251">
        <v>0.28299999999999997</v>
      </c>
      <c r="AX11" s="257">
        <v>1</v>
      </c>
      <c r="AY11" s="253">
        <f ca="1">((PI()*AV11*AW11/4)*(AT11^2-AU11^2))*AX11</f>
        <v>1.0002045610866503</v>
      </c>
      <c r="AZ11" s="254">
        <f ca="1">(((AY11/386.4)*(AT11^2+AU11^2))/8)</f>
        <v>2.9120862609277481E-3</v>
      </c>
      <c r="BA11" s="251" t="e">
        <f ca="1">Ratio</f>
        <v>#N/A</v>
      </c>
      <c r="BB11" s="256" t="e">
        <f ca="1">(AZ11/(BA11^2))</f>
        <v>#N/A</v>
      </c>
      <c r="BD11" s="250" t="s">
        <v>583</v>
      </c>
      <c r="BE11" s="251">
        <v>3</v>
      </c>
      <c r="BF11" s="251">
        <v>0</v>
      </c>
      <c r="BG11" s="251">
        <f ca="1">IF( ROLLWIDTH="Y",VALUE(Width) + 0.5,VALUE(Width)*0.5)</f>
        <v>0.5</v>
      </c>
      <c r="BH11" s="251">
        <v>0.28299999999999997</v>
      </c>
      <c r="BI11" s="257">
        <v>1</v>
      </c>
      <c r="BJ11" s="253">
        <f ca="1">((PI()*BG11*BH11/4)*(BE11^2-BF11^2))*BI11</f>
        <v>1.0002045610866503</v>
      </c>
      <c r="BK11" s="254">
        <f ca="1">(((BJ11/386.4)*(BE11^2+BF11^2))/8)</f>
        <v>2.9120862609277481E-3</v>
      </c>
      <c r="BL11" s="251" t="e">
        <f ca="1">Ratio</f>
        <v>#N/A</v>
      </c>
      <c r="BM11" s="256" t="e">
        <f ca="1">(BK11/(BL11^2))</f>
        <v>#N/A</v>
      </c>
      <c r="BO11" s="250" t="s">
        <v>583</v>
      </c>
      <c r="BP11" s="251">
        <v>3</v>
      </c>
      <c r="BQ11" s="251">
        <v>0</v>
      </c>
      <c r="BR11" s="251">
        <f ca="1">IF( ROLLWIDTH="Y",VALUE(Width) + 0.5,VALUE(Width)*0.5)</f>
        <v>0.5</v>
      </c>
      <c r="BS11" s="251">
        <v>0.28299999999999997</v>
      </c>
      <c r="BT11" s="257">
        <v>1</v>
      </c>
      <c r="BU11" s="253">
        <f ca="1">((PI()*BR11*BS11/4)*(BP11^2-BQ11^2))*BT11</f>
        <v>1.0002045610866503</v>
      </c>
      <c r="BV11" s="254">
        <f ca="1">(((BU11/386.4)*(BP11^2+BQ11^2))/8)</f>
        <v>2.9120862609277481E-3</v>
      </c>
      <c r="BW11" s="255" t="e">
        <f ca="1">Ratio</f>
        <v>#N/A</v>
      </c>
      <c r="BX11" s="256" t="e">
        <f ca="1">(BV11/(BW11^2))</f>
        <v>#N/A</v>
      </c>
      <c r="BZ11" s="250" t="s">
        <v>583</v>
      </c>
      <c r="CA11" s="251">
        <v>4</v>
      </c>
      <c r="CB11" s="251">
        <v>0</v>
      </c>
      <c r="CC11" s="251">
        <f ca="1">IF( ROLLWIDTH="Y",VALUE(Width) + 0.5,VALUE(Width)*0.5)</f>
        <v>0.5</v>
      </c>
      <c r="CD11" s="251">
        <v>0.28299999999999997</v>
      </c>
      <c r="CE11" s="257">
        <v>1</v>
      </c>
      <c r="CF11" s="253">
        <f ca="1">((PI()*CC11*CD11/4)*(CA11^2-CB11^2))*CE11</f>
        <v>1.7781414419318227</v>
      </c>
      <c r="CG11" s="254">
        <f ca="1">(((CF11/386.4)*(CA11^2+CB11^2))/8)</f>
        <v>9.2036306518210285E-3</v>
      </c>
      <c r="CH11" s="255" t="e">
        <f ca="1">Ratio</f>
        <v>#N/A</v>
      </c>
      <c r="CI11" s="256" t="e">
        <f ca="1">(CG11/(CH11^2))</f>
        <v>#N/A</v>
      </c>
      <c r="CK11" s="250" t="s">
        <v>583</v>
      </c>
      <c r="CL11" s="251">
        <v>4</v>
      </c>
      <c r="CM11" s="251">
        <v>0</v>
      </c>
      <c r="CN11" s="251">
        <f ca="1">IF( ROLLWIDTH="Y",VALUE(Width) + 1,VALUE(Width)*0.5)</f>
        <v>1</v>
      </c>
      <c r="CO11" s="251">
        <v>0.28299999999999997</v>
      </c>
      <c r="CP11" s="257">
        <v>1</v>
      </c>
      <c r="CQ11" s="253">
        <f ca="1">((PI()*CN11*CO11/4)*(CL11^2-CM11^2))*CP11</f>
        <v>3.5562828838636453</v>
      </c>
      <c r="CR11" s="254">
        <f ca="1">(((CQ11/386.4)*(CL11^2+CM11^2))/8)</f>
        <v>1.8407261303642057E-2</v>
      </c>
      <c r="CS11" s="255" t="e">
        <f ca="1">Ratio</f>
        <v>#N/A</v>
      </c>
      <c r="CT11" s="256" t="e">
        <f ca="1">(CR11/(CS11^2))</f>
        <v>#N/A</v>
      </c>
      <c r="CV11" s="250" t="s">
        <v>581</v>
      </c>
      <c r="CW11" s="251">
        <v>3.25</v>
      </c>
      <c r="CX11" s="251">
        <v>0</v>
      </c>
      <c r="CY11" s="339">
        <f ca="1">IF(ROLLWIDTH="Y",4.24,VALUE(Width)*0.5+4.74)</f>
        <v>4.24</v>
      </c>
      <c r="CZ11" s="251">
        <v>0.28299999999999997</v>
      </c>
      <c r="DA11" s="257">
        <v>1</v>
      </c>
      <c r="DB11" s="253">
        <f ca="1">((PI()*CY11*CZ11/4)*(CW11^2-CX11^2))*DA11</f>
        <v>9.9542580596145864</v>
      </c>
      <c r="DC11" s="254">
        <f ca="1">(((DB11/386.4)*(CW11^2+CX11^2))/8)</f>
        <v>3.4013279876643078E-2</v>
      </c>
      <c r="DD11" s="255" t="e">
        <f ca="1">Ratio</f>
        <v>#N/A</v>
      </c>
      <c r="DE11" s="256" t="e">
        <f ca="1">(DC11/(DD11^2))</f>
        <v>#N/A</v>
      </c>
      <c r="DG11" s="250" t="s">
        <v>581</v>
      </c>
      <c r="DH11" s="339">
        <v>3.25</v>
      </c>
      <c r="DI11" s="339">
        <v>0</v>
      </c>
      <c r="DJ11" s="339">
        <f ca="1">IF(ROLLWIDTH="Y",4.24,VALUE(Width)*0.5+4.74)</f>
        <v>4.24</v>
      </c>
      <c r="DK11" s="254">
        <v>0.28299999999999997</v>
      </c>
      <c r="DL11" s="257">
        <v>1</v>
      </c>
      <c r="DM11" s="340">
        <f ca="1">((PI()*DJ11*DK11/4)*(DH11^2-DI11^2))*DL11</f>
        <v>9.9542580596145864</v>
      </c>
      <c r="DN11" s="254">
        <f ca="1">(((DM11/386.4)*(DH11^2+DI11^2))/8)</f>
        <v>3.4013279876643078E-2</v>
      </c>
      <c r="DO11" s="255" t="e">
        <f ca="1">Ratio</f>
        <v>#N/A</v>
      </c>
      <c r="DP11" s="256" t="e">
        <f ca="1">(DN11/(DO11^2))</f>
        <v>#N/A</v>
      </c>
      <c r="DR11" s="250"/>
      <c r="DS11" s="255">
        <v>4</v>
      </c>
      <c r="DT11" s="339">
        <v>0</v>
      </c>
      <c r="DU11" s="342">
        <f ca="1">IF(ROLLWIDTH="Y",4.92,(VALUE(Width)+5.92)-(VALUE(Width)*0.5))</f>
        <v>4.92</v>
      </c>
      <c r="DV11" s="251">
        <v>0.28299999999999997</v>
      </c>
      <c r="DW11" s="252">
        <v>1</v>
      </c>
      <c r="DX11" s="340">
        <f ca="1">((PI()*DU11*DV11/4)*(DS11^2-DT11^2))*DW11</f>
        <v>17.496911788609136</v>
      </c>
      <c r="DY11" s="254">
        <f ca="1">(((DX11/386.4)*(DS11^2+DT11^2))/8)</f>
        <v>9.0563725613918927E-2</v>
      </c>
      <c r="DZ11" s="341" t="e">
        <f ca="1">Ratio</f>
        <v>#N/A</v>
      </c>
      <c r="EA11" s="256" t="e">
        <f ca="1">(DY11/(DZ11^2))</f>
        <v>#N/A</v>
      </c>
      <c r="EC11" s="250" t="s">
        <v>582</v>
      </c>
      <c r="ED11" s="255">
        <v>6</v>
      </c>
      <c r="EE11" s="339">
        <v>0</v>
      </c>
      <c r="EF11" s="342">
        <f ca="1">IF(ROLLWIDTH="Y",VALUE(Width)+1,VALUE(Width)*0.5)</f>
        <v>1</v>
      </c>
      <c r="EG11" s="251">
        <v>0.28299999999999997</v>
      </c>
      <c r="EH11" s="252">
        <v>1</v>
      </c>
      <c r="EI11" s="340">
        <f ca="1">((PI()*EF11*EG11/4)*(ED11^2-EE11^2))*EH11</f>
        <v>8.0016364886932028</v>
      </c>
      <c r="EJ11" s="254">
        <f ca="1">(((EI11/386.4)*(ED11^2+EE11^2))/8)</f>
        <v>9.3186760349687939E-2</v>
      </c>
      <c r="EK11" s="341" t="e">
        <f ca="1">Ratio</f>
        <v>#N/A</v>
      </c>
      <c r="EL11" s="256" t="e">
        <f ca="1">(EJ11/(EK11^2))</f>
        <v>#N/A</v>
      </c>
      <c r="EN11" s="250" t="s">
        <v>582</v>
      </c>
      <c r="EO11" s="255">
        <v>6</v>
      </c>
      <c r="EP11" s="339">
        <v>0</v>
      </c>
      <c r="EQ11" s="342">
        <f ca="1">IF(ROLLWIDTH="Y",VALUE(Width)+1,VALUE(Width)*0.5)</f>
        <v>1</v>
      </c>
      <c r="ER11" s="251">
        <v>0.28299999999999997</v>
      </c>
      <c r="ES11" s="252">
        <v>1</v>
      </c>
      <c r="ET11" s="340">
        <f ca="1">((PI()*EQ11*ER11/4)*(EO11^2-EP11^2))*ES11</f>
        <v>8.0016364886932028</v>
      </c>
      <c r="EU11" s="254">
        <f ca="1">(((ET11/386.4)*(EO11^2+EP11^2))/8)</f>
        <v>9.3186760349687939E-2</v>
      </c>
      <c r="EV11" s="341" t="e">
        <f ca="1">Ratio</f>
        <v>#N/A</v>
      </c>
      <c r="EW11" s="256" t="e">
        <f ca="1">(EU11/(EV11^2))</f>
        <v>#N/A</v>
      </c>
      <c r="EY11" s="250" t="s">
        <v>582</v>
      </c>
      <c r="EZ11" s="339">
        <v>7</v>
      </c>
      <c r="FA11" s="339">
        <v>0</v>
      </c>
      <c r="FB11" s="342">
        <f ca="1">IF(ROLLWIDTH="Y",VALUE(Width)+1,VALUE(Width)*0.5)</f>
        <v>1</v>
      </c>
      <c r="FC11" s="251">
        <v>0.28299999999999997</v>
      </c>
      <c r="FD11" s="252">
        <v>1</v>
      </c>
      <c r="FE11" s="340">
        <f t="shared" ref="FE11:FE17" ca="1" si="0">((PI()*FB11*FC11/4)*(EZ11^2-FA11^2))*FD11</f>
        <v>10.891116331832414</v>
      </c>
      <c r="FF11" s="254">
        <f t="shared" ref="FF11:FF17" ca="1" si="1">(((FE11/386.4)*(EZ11^2+FA11^2))/8)</f>
        <v>0.17263997808611165</v>
      </c>
      <c r="FG11" s="341" t="e">
        <f ca="1">Ratio</f>
        <v>#N/A</v>
      </c>
      <c r="FH11" s="256" t="e">
        <f t="shared" ref="FH11:FH17" ca="1" si="2">(FF11/(FG11^2))</f>
        <v>#N/A</v>
      </c>
      <c r="FJ11" s="250" t="s">
        <v>582</v>
      </c>
      <c r="FK11" s="339">
        <v>7</v>
      </c>
      <c r="FL11" s="339">
        <v>0</v>
      </c>
      <c r="FM11" s="342">
        <f ca="1">IF(ROLLWIDTH="Y",VALUE(Width)+1,VALUE(Width)*0.5)</f>
        <v>1</v>
      </c>
      <c r="FN11" s="251">
        <v>0.28299999999999997</v>
      </c>
      <c r="FO11" s="252">
        <v>1</v>
      </c>
      <c r="FP11" s="340">
        <f t="shared" ref="FP11:FP17" ca="1" si="3">((PI()*FM11*FN11/4)*(FK11^2-FL11^2))*FO11</f>
        <v>10.891116331832414</v>
      </c>
      <c r="FQ11" s="254">
        <f t="shared" ref="FQ11:FQ17" ca="1" si="4">(((FP11/386.4)*(FK11^2+FL11^2))/8)</f>
        <v>0.17263997808611165</v>
      </c>
      <c r="FR11" s="341" t="e">
        <f ca="1">Ratio</f>
        <v>#N/A</v>
      </c>
      <c r="FS11" s="256" t="e">
        <f t="shared" ref="FS11:FS17" ca="1" si="5">(FQ11/(FR11^2))</f>
        <v>#N/A</v>
      </c>
      <c r="FU11" s="250" t="s">
        <v>582</v>
      </c>
      <c r="FV11" s="378">
        <v>8</v>
      </c>
      <c r="FW11" s="378">
        <v>0</v>
      </c>
      <c r="FX11" s="379">
        <f ca="1">IF(ROLLWIDTH="Y",VALUE(Width)+1,VALUE(Width)*0.5)</f>
        <v>1</v>
      </c>
      <c r="FY11" s="251">
        <v>0.28299999999999997</v>
      </c>
      <c r="FZ11" s="252">
        <v>1</v>
      </c>
      <c r="GA11" s="340">
        <f t="shared" ref="GA11:GA16" ca="1" si="6">((PI()*FX11*FY11/4)*(FV11^2-FW11^2))*FZ11</f>
        <v>14.225131535454581</v>
      </c>
      <c r="GB11" s="254">
        <f t="shared" ref="GB11:GB16" ca="1" si="7">(((GA11/386.4)*(FV11^2+FW11^2))/8)</f>
        <v>0.29451618085827291</v>
      </c>
      <c r="GC11" s="341" t="e">
        <f t="shared" ref="GC11:GC16" ca="1" si="8">Ratio</f>
        <v>#N/A</v>
      </c>
      <c r="GD11" s="256" t="e">
        <f t="shared" ref="GD11:GD16" ca="1" si="9">(GB11/(GC11^2))</f>
        <v>#N/A</v>
      </c>
    </row>
    <row r="12" spans="1:186" ht="15.75" x14ac:dyDescent="0.25">
      <c r="A12" s="250"/>
      <c r="B12" s="251"/>
      <c r="C12" s="251"/>
      <c r="D12" s="251"/>
      <c r="E12" s="251"/>
      <c r="F12" s="245"/>
      <c r="G12" s="253"/>
      <c r="H12" s="254"/>
      <c r="I12" s="245"/>
      <c r="J12" s="256"/>
      <c r="L12" s="250"/>
      <c r="M12" s="251"/>
      <c r="N12" s="251"/>
      <c r="O12" s="251"/>
      <c r="P12" s="251"/>
      <c r="Q12" s="245"/>
      <c r="R12" s="253"/>
      <c r="S12" s="254"/>
      <c r="T12" s="245"/>
      <c r="U12" s="256"/>
      <c r="W12" s="250"/>
      <c r="X12" s="251"/>
      <c r="Y12" s="251"/>
      <c r="Z12" s="251"/>
      <c r="AA12" s="251"/>
      <c r="AB12" s="245"/>
      <c r="AC12" s="253"/>
      <c r="AD12" s="254"/>
      <c r="AE12" s="245"/>
      <c r="AF12" s="256"/>
      <c r="AH12" s="250"/>
      <c r="AI12" s="251"/>
      <c r="AJ12" s="251"/>
      <c r="AK12" s="251"/>
      <c r="AL12" s="251"/>
      <c r="AM12" s="245"/>
      <c r="AN12" s="253"/>
      <c r="AO12" s="254"/>
      <c r="AP12" s="245"/>
      <c r="AQ12" s="245"/>
      <c r="AS12" s="250" t="s">
        <v>581</v>
      </c>
      <c r="AT12" s="251">
        <v>2.25</v>
      </c>
      <c r="AU12" s="251">
        <v>0</v>
      </c>
      <c r="AV12" s="251">
        <f ca="1">IF(ROLLWIDTH="Y",6.14,VALUE(Width)*0.5)</f>
        <v>6.14</v>
      </c>
      <c r="AW12" s="251">
        <v>0.28299999999999997</v>
      </c>
      <c r="AX12" s="257">
        <v>1</v>
      </c>
      <c r="AY12" s="253">
        <f ca="1">((PI()*AV12*AW12/4)*(AT12^2-AU12^2))*AX12</f>
        <v>6.9089130057060366</v>
      </c>
      <c r="AZ12" s="254">
        <f ca="1">(((AY12/386.4)*(AT12^2+AU12^2))/8)</f>
        <v>1.131482016413911E-2</v>
      </c>
      <c r="BA12" s="251" t="e">
        <f ca="1">Ratio</f>
        <v>#N/A</v>
      </c>
      <c r="BB12" s="256" t="e">
        <f ca="1">(AZ12/(BA12^2))</f>
        <v>#N/A</v>
      </c>
      <c r="BD12" s="250" t="s">
        <v>581</v>
      </c>
      <c r="BE12" s="251">
        <v>2.25</v>
      </c>
      <c r="BF12" s="251">
        <v>0</v>
      </c>
      <c r="BG12" s="251">
        <f ca="1">IF(ROLLWIDTH="Y",6.14,VALUE(Width)*0.5)</f>
        <v>6.14</v>
      </c>
      <c r="BH12" s="251">
        <v>0.28299999999999997</v>
      </c>
      <c r="BI12" s="257">
        <v>1</v>
      </c>
      <c r="BJ12" s="253">
        <f ca="1">((PI()*BG12*BH12/4)*(BE12^2-BF12^2))*BI12</f>
        <v>6.9089130057060366</v>
      </c>
      <c r="BK12" s="254">
        <f ca="1">(((BJ12/386.4)*(BE12^2+BF12^2))/8)</f>
        <v>1.131482016413911E-2</v>
      </c>
      <c r="BL12" s="251" t="e">
        <f ca="1">Ratio</f>
        <v>#N/A</v>
      </c>
      <c r="BM12" s="256" t="e">
        <f ca="1">(BK12/(BL12^2))</f>
        <v>#N/A</v>
      </c>
      <c r="BO12" s="250" t="s">
        <v>581</v>
      </c>
      <c r="BP12" s="251">
        <v>2.25</v>
      </c>
      <c r="BQ12" s="251">
        <v>0</v>
      </c>
      <c r="BR12" s="251">
        <f ca="1">IF(ROLLWIDTH="Y",6.14,VALUE(Width)*0.5)</f>
        <v>6.14</v>
      </c>
      <c r="BS12" s="251">
        <v>0.28299999999999997</v>
      </c>
      <c r="BT12" s="257">
        <v>1</v>
      </c>
      <c r="BU12" s="253">
        <f ca="1">((PI()*BR12*BS12/4)*(BP12^2-BQ12^2))*BT12</f>
        <v>6.9089130057060366</v>
      </c>
      <c r="BV12" s="254">
        <f ca="1">(((BU12/386.4)*(BP12^2+BQ12^2))/8)</f>
        <v>1.131482016413911E-2</v>
      </c>
      <c r="BW12" s="255" t="e">
        <f ca="1">Ratio</f>
        <v>#N/A</v>
      </c>
      <c r="BX12" s="256" t="e">
        <f ca="1">(BV12/(BW12^2))</f>
        <v>#N/A</v>
      </c>
      <c r="BZ12" s="250" t="s">
        <v>581</v>
      </c>
      <c r="CA12" s="251">
        <v>3.25</v>
      </c>
      <c r="CB12" s="251">
        <v>0</v>
      </c>
      <c r="CC12" s="251">
        <f ca="1">IF(ROLLWIDTH="Y",4.24,VALUE(Width)*0.5+4.74)</f>
        <v>4.24</v>
      </c>
      <c r="CD12" s="251">
        <v>0.28299999999999997</v>
      </c>
      <c r="CE12" s="257">
        <v>1</v>
      </c>
      <c r="CF12" s="253">
        <f ca="1">((PI()*CC12*CD12/4)*(CA12^2-CB12^2))*CE12</f>
        <v>9.9542580596145864</v>
      </c>
      <c r="CG12" s="254">
        <f ca="1">(((CF12/386.4)*(CA12^2+CB12^2))/8)</f>
        <v>3.4013279876643078E-2</v>
      </c>
      <c r="CH12" s="255" t="e">
        <f ca="1">Ratio</f>
        <v>#N/A</v>
      </c>
      <c r="CI12" s="256" t="e">
        <f ca="1">(CG12/(CH12^2))</f>
        <v>#N/A</v>
      </c>
      <c r="CK12" s="250" t="s">
        <v>581</v>
      </c>
      <c r="CL12" s="251">
        <v>3.25</v>
      </c>
      <c r="CM12" s="251">
        <v>0</v>
      </c>
      <c r="CN12" s="251">
        <f ca="1">IF(ROLLWIDTH="Y",4.24,VALUE(Width)*0.5+4.74)</f>
        <v>4.24</v>
      </c>
      <c r="CO12" s="251">
        <v>0.28299999999999997</v>
      </c>
      <c r="CP12" s="257">
        <v>1</v>
      </c>
      <c r="CQ12" s="253">
        <f ca="1">((PI()*CN12*CO12/4)*(CL12^2-CM12^2))*CP12</f>
        <v>9.9542580596145864</v>
      </c>
      <c r="CR12" s="254">
        <f ca="1">(((CQ12/386.4)*(CL12^2+CM12^2))/8)</f>
        <v>3.4013279876643078E-2</v>
      </c>
      <c r="CS12" s="255" t="e">
        <f ca="1">Ratio</f>
        <v>#N/A</v>
      </c>
      <c r="CT12" s="256" t="e">
        <f ca="1">(CR12/(CS12^2))</f>
        <v>#N/A</v>
      </c>
      <c r="CV12" s="250" t="s">
        <v>580</v>
      </c>
      <c r="CW12" s="251">
        <v>2.7549999999999999</v>
      </c>
      <c r="CX12" s="251">
        <v>0</v>
      </c>
      <c r="CY12" s="339">
        <v>7.76</v>
      </c>
      <c r="CZ12" s="251">
        <v>0.28299999999999997</v>
      </c>
      <c r="DA12" s="257">
        <v>1</v>
      </c>
      <c r="DB12" s="253">
        <f>((PI()*CY12*CZ12/4)*(CW12^2-CX12^2))*DA12</f>
        <v>13.091253857864626</v>
      </c>
      <c r="DC12" s="254">
        <f>(((DB12/386.4)*(CW12^2+CX12^2))/8)</f>
        <v>3.2143809544040808E-2</v>
      </c>
      <c r="DD12" s="255" t="e">
        <f ca="1">Ratio</f>
        <v>#N/A</v>
      </c>
      <c r="DE12" s="256" t="e">
        <f ca="1">(DC12/(DD12^2))</f>
        <v>#N/A</v>
      </c>
      <c r="DG12" s="250" t="s">
        <v>580</v>
      </c>
      <c r="DH12" s="339">
        <v>2.7549999999999999</v>
      </c>
      <c r="DI12" s="339">
        <v>0</v>
      </c>
      <c r="DJ12" s="339">
        <v>7.76</v>
      </c>
      <c r="DK12" s="254">
        <v>0.28299999999999997</v>
      </c>
      <c r="DL12" s="257">
        <v>1</v>
      </c>
      <c r="DM12" s="340">
        <f>((PI()*DJ12*DK12/4)*(DH12^2-DI12^2))*DL12</f>
        <v>13.091253857864626</v>
      </c>
      <c r="DN12" s="254">
        <f>(((DM12/386.4)*(DH12^2+DI12^2))/8)</f>
        <v>3.2143809544040808E-2</v>
      </c>
      <c r="DO12" s="255" t="e">
        <f ca="1">Ratio</f>
        <v>#N/A</v>
      </c>
      <c r="DP12" s="256" t="e">
        <f ca="1">(DN12/(DO12^2))</f>
        <v>#N/A</v>
      </c>
      <c r="DR12" s="250" t="s">
        <v>580</v>
      </c>
      <c r="DS12" s="255">
        <v>2.4359999999999999</v>
      </c>
      <c r="DT12" s="339">
        <v>0</v>
      </c>
      <c r="DU12" s="342">
        <v>5.44</v>
      </c>
      <c r="DV12" s="251">
        <v>0.28299999999999997</v>
      </c>
      <c r="DW12" s="252">
        <v>1</v>
      </c>
      <c r="DX12" s="340">
        <f>((PI()*DU12*DV12/4)*(DS12^2-DT12^2))*DW12</f>
        <v>7.1751301722412659</v>
      </c>
      <c r="DY12" s="254">
        <f>(((DX12/386.4)*(DS12^2+DT12^2))/8)</f>
        <v>1.3773910214342716E-2</v>
      </c>
      <c r="DZ12" s="341" t="e">
        <f ca="1">Ratio</f>
        <v>#N/A</v>
      </c>
      <c r="EA12" s="256" t="e">
        <f ca="1">(DY12/(DZ12^2))</f>
        <v>#N/A</v>
      </c>
      <c r="EC12" s="250"/>
      <c r="ED12" s="255">
        <v>4.5</v>
      </c>
      <c r="EE12" s="339">
        <v>0</v>
      </c>
      <c r="EF12" s="342">
        <f ca="1">IF(ROLLWIDTH="Y",4.92,(VALUE(Width)+5.92)-(VALUE(Width)*0.5))</f>
        <v>4.92</v>
      </c>
      <c r="EG12" s="251">
        <v>0.28299999999999997</v>
      </c>
      <c r="EH12" s="252">
        <v>1</v>
      </c>
      <c r="EI12" s="340">
        <f ca="1">((PI()*EF12*EG12/4)*(ED12^2-EE12^2))*EH12</f>
        <v>22.144528982458439</v>
      </c>
      <c r="EJ12" s="254">
        <f ca="1">(((EI12/386.4)*(ED12^2+EE12^2))/8)</f>
        <v>0.14506557708811574</v>
      </c>
      <c r="EK12" s="341" t="e">
        <f ca="1">Ratio</f>
        <v>#N/A</v>
      </c>
      <c r="EL12" s="256" t="e">
        <f ca="1">(EJ12/(EK12^2))</f>
        <v>#N/A</v>
      </c>
      <c r="EN12" s="250"/>
      <c r="EO12" s="255">
        <v>4.5</v>
      </c>
      <c r="EP12" s="339">
        <v>0</v>
      </c>
      <c r="EQ12" s="342">
        <f ca="1">IF(ROLLWIDTH="Y",4.92,(VALUE(Width)+5.92)-(VALUE(Width)*0.5))</f>
        <v>4.92</v>
      </c>
      <c r="ER12" s="251">
        <v>0.28299999999999997</v>
      </c>
      <c r="ES12" s="252">
        <v>1</v>
      </c>
      <c r="ET12" s="340">
        <f ca="1">((PI()*EQ12*ER12/4)*(EO12^2-EP12^2))*ES12</f>
        <v>22.144528982458439</v>
      </c>
      <c r="EU12" s="254">
        <f ca="1">(((ET12/386.4)*(EO12^2+EP12^2))/8)</f>
        <v>0.14506557708811574</v>
      </c>
      <c r="EV12" s="341" t="e">
        <f ca="1">Ratio</f>
        <v>#N/A</v>
      </c>
      <c r="EW12" s="256" t="e">
        <f ca="1">(EU12/(EV12^2))</f>
        <v>#N/A</v>
      </c>
      <c r="EY12" s="250"/>
      <c r="EZ12" s="339">
        <v>6</v>
      </c>
      <c r="FA12" s="339">
        <v>0</v>
      </c>
      <c r="FB12" s="342">
        <f ca="1">IF(ROLLWIDTH="Y",4.92,(VALUE(Width)+5.92)-(VALUE(Width)*0.5))</f>
        <v>4.92</v>
      </c>
      <c r="FC12" s="251">
        <v>0.28299999999999997</v>
      </c>
      <c r="FD12" s="252">
        <v>1</v>
      </c>
      <c r="FE12" s="340">
        <f t="shared" ca="1" si="0"/>
        <v>39.368051524370557</v>
      </c>
      <c r="FF12" s="254">
        <f t="shared" ca="1" si="1"/>
        <v>0.45847886092046464</v>
      </c>
      <c r="FG12" s="341" t="e">
        <f ca="1">Ratio</f>
        <v>#N/A</v>
      </c>
      <c r="FH12" s="256" t="e">
        <f t="shared" ca="1" si="2"/>
        <v>#N/A</v>
      </c>
      <c r="FJ12" s="250"/>
      <c r="FK12" s="339">
        <v>6</v>
      </c>
      <c r="FL12" s="339">
        <v>0</v>
      </c>
      <c r="FM12" s="342">
        <f ca="1">IF(ROLLWIDTH="Y",4.92,(VALUE(Width)+5.92)-(VALUE(Width)*0.5))</f>
        <v>4.92</v>
      </c>
      <c r="FN12" s="251">
        <v>0.28299999999999997</v>
      </c>
      <c r="FO12" s="252">
        <v>1</v>
      </c>
      <c r="FP12" s="340">
        <f t="shared" ca="1" si="3"/>
        <v>39.368051524370557</v>
      </c>
      <c r="FQ12" s="254">
        <f t="shared" ca="1" si="4"/>
        <v>0.45847886092046464</v>
      </c>
      <c r="FR12" s="341" t="e">
        <f ca="1">Ratio</f>
        <v>#N/A</v>
      </c>
      <c r="FS12" s="256" t="e">
        <f t="shared" ca="1" si="5"/>
        <v>#N/A</v>
      </c>
      <c r="FU12" s="250"/>
      <c r="FV12" s="378">
        <v>7</v>
      </c>
      <c r="FW12" s="378">
        <v>0</v>
      </c>
      <c r="FX12" s="379">
        <f ca="1">IF(ROLLWIDTH="Y",4.92,(VALUE(Width)+5.92)-(VALUE(Width)*0.5))</f>
        <v>4.92</v>
      </c>
      <c r="FY12" s="251">
        <v>0.28299999999999997</v>
      </c>
      <c r="FZ12" s="252">
        <v>1</v>
      </c>
      <c r="GA12" s="340">
        <f t="shared" ca="1" si="6"/>
        <v>53.584292352615478</v>
      </c>
      <c r="GB12" s="254">
        <f t="shared" ca="1" si="7"/>
        <v>0.8493886921836693</v>
      </c>
      <c r="GC12" s="341" t="e">
        <f t="shared" ca="1" si="8"/>
        <v>#N/A</v>
      </c>
      <c r="GD12" s="256" t="e">
        <f t="shared" ca="1" si="9"/>
        <v>#N/A</v>
      </c>
    </row>
    <row r="13" spans="1:186" ht="15.75" x14ac:dyDescent="0.25">
      <c r="A13" s="250" t="s">
        <v>584</v>
      </c>
      <c r="B13" s="251">
        <v>2</v>
      </c>
      <c r="C13" s="251">
        <v>1.25</v>
      </c>
      <c r="D13" s="251">
        <v>0.75</v>
      </c>
      <c r="E13" s="251">
        <v>0.28299999999999997</v>
      </c>
      <c r="F13" s="257">
        <v>2</v>
      </c>
      <c r="G13" s="253">
        <f>((PI()*D13*E13/4)*(B13^2-C13^2))*F13</f>
        <v>0.81266620588290339</v>
      </c>
      <c r="H13" s="254">
        <f>(((G13/386.4)*(B13^2+C13^2))/8)</f>
        <v>1.462362762106512E-3</v>
      </c>
      <c r="I13" s="255" t="e">
        <f ca="1">(B13/B14)*Ratio</f>
        <v>#N/A</v>
      </c>
      <c r="J13" s="256" t="e">
        <f ca="1">(H13/(I13^2))</f>
        <v>#N/A</v>
      </c>
      <c r="L13" s="250" t="s">
        <v>584</v>
      </c>
      <c r="M13" s="251">
        <v>2</v>
      </c>
      <c r="N13" s="251">
        <v>1.25</v>
      </c>
      <c r="O13" s="251">
        <v>0.75</v>
      </c>
      <c r="P13" s="251">
        <v>0.28299999999999997</v>
      </c>
      <c r="Q13" s="257">
        <v>2</v>
      </c>
      <c r="R13" s="253">
        <f>((PI()*P13*O13/4)*(M13^2-N13^2))*Q13</f>
        <v>0.81266620588290339</v>
      </c>
      <c r="S13" s="254">
        <f>(((R13/386.4)*(M13^2+N13^2))/8)</f>
        <v>1.462362762106512E-3</v>
      </c>
      <c r="T13" s="255" t="e">
        <f ca="1">(M13/M14)*Ratio</f>
        <v>#N/A</v>
      </c>
      <c r="U13" s="256" t="e">
        <f ca="1">(S13/(T13^2))</f>
        <v>#N/A</v>
      </c>
      <c r="W13" s="250" t="s">
        <v>584</v>
      </c>
      <c r="X13" s="251">
        <v>2</v>
      </c>
      <c r="Y13" s="251">
        <v>1.25</v>
      </c>
      <c r="Z13" s="251">
        <v>0.75</v>
      </c>
      <c r="AA13" s="251">
        <v>0.28299999999999997</v>
      </c>
      <c r="AB13" s="257">
        <v>2</v>
      </c>
      <c r="AC13" s="253">
        <f>((PI()*Z13*AA13/4)*(X13^2-Y13^2))*AB13</f>
        <v>0.81266620588290339</v>
      </c>
      <c r="AD13" s="254">
        <f>(((AC13/386.4)*(X13^2+Y13^2))/8)</f>
        <v>1.462362762106512E-3</v>
      </c>
      <c r="AE13" s="255" t="e">
        <f ca="1">(X13/X14)*Ratio</f>
        <v>#N/A</v>
      </c>
      <c r="AF13" s="256" t="e">
        <f ca="1">(AD13/(AE13^2))</f>
        <v>#N/A</v>
      </c>
      <c r="AH13" s="250" t="s">
        <v>584</v>
      </c>
      <c r="AI13" s="251">
        <v>2</v>
      </c>
      <c r="AJ13" s="251">
        <v>1.25</v>
      </c>
      <c r="AK13" s="251">
        <v>0.75</v>
      </c>
      <c r="AL13" s="251">
        <v>0.28299999999999997</v>
      </c>
      <c r="AM13" s="257">
        <v>2</v>
      </c>
      <c r="AN13" s="253">
        <f>((PI()*AK13*AL13/4)*(AI13^2-AJ13^2))*AM13</f>
        <v>0.81266620588290339</v>
      </c>
      <c r="AO13" s="254">
        <f>(((AN13/386.4)*(AI13^2+AJ13^2))/8)</f>
        <v>1.462362762106512E-3</v>
      </c>
      <c r="AP13" s="255" t="e">
        <f ca="1">(AI13/AI14)*Ratio</f>
        <v>#N/A</v>
      </c>
      <c r="AQ13" s="256" t="e">
        <f ca="1">(AO13/(AP13^2))</f>
        <v>#N/A</v>
      </c>
      <c r="AS13" s="250" t="s">
        <v>580</v>
      </c>
      <c r="AT13" s="251">
        <v>1.5745</v>
      </c>
      <c r="AU13" s="251">
        <v>0</v>
      </c>
      <c r="AV13" s="251">
        <v>7.76</v>
      </c>
      <c r="AW13" s="251">
        <v>0.28299999999999997</v>
      </c>
      <c r="AX13" s="257">
        <v>1</v>
      </c>
      <c r="AY13" s="253">
        <f>((PI()*AV13*AW13/4)*(AT13^2-AU13^2))*AX13</f>
        <v>4.275858926571753</v>
      </c>
      <c r="AZ13" s="254">
        <f>(((AY13/386.4)*(AT13^2+AU13^2))/8)</f>
        <v>3.429111393919008E-3</v>
      </c>
      <c r="BA13" s="251" t="e">
        <f ca="1">Ratio</f>
        <v>#N/A</v>
      </c>
      <c r="BB13" s="256" t="e">
        <f ca="1">(AZ13/(BA13^2))</f>
        <v>#N/A</v>
      </c>
      <c r="BD13" s="250" t="s">
        <v>580</v>
      </c>
      <c r="BE13" s="251">
        <v>1.5745</v>
      </c>
      <c r="BF13" s="251">
        <v>0</v>
      </c>
      <c r="BG13" s="251">
        <v>7.76</v>
      </c>
      <c r="BH13" s="251">
        <v>0.28299999999999997</v>
      </c>
      <c r="BI13" s="257">
        <v>1</v>
      </c>
      <c r="BJ13" s="253">
        <f>((PI()*BG13*BH13/4)*(BE13^2-BF13^2))*BI13</f>
        <v>4.275858926571753</v>
      </c>
      <c r="BK13" s="254">
        <f>(((BJ13/386.4)*(BE13^2+BF13^2))/8)</f>
        <v>3.429111393919008E-3</v>
      </c>
      <c r="BL13" s="251" t="e">
        <f ca="1">Ratio</f>
        <v>#N/A</v>
      </c>
      <c r="BM13" s="256" t="e">
        <f ca="1">(BK13/(BL13^2))</f>
        <v>#N/A</v>
      </c>
      <c r="BO13" s="250" t="s">
        <v>580</v>
      </c>
      <c r="BP13" s="251">
        <v>1.5745</v>
      </c>
      <c r="BQ13" s="251">
        <v>0</v>
      </c>
      <c r="BR13" s="251">
        <v>7.76</v>
      </c>
      <c r="BS13" s="251">
        <v>0.28299999999999997</v>
      </c>
      <c r="BT13" s="257">
        <v>1</v>
      </c>
      <c r="BU13" s="253">
        <f>((PI()*BR13*BS13/4)*(BP13^2-BQ13^2))*BT13</f>
        <v>4.275858926571753</v>
      </c>
      <c r="BV13" s="254">
        <f>(((BU13/386.4)*(BP13^2+BQ13^2))/8)</f>
        <v>3.429111393919008E-3</v>
      </c>
      <c r="BW13" s="255" t="e">
        <f ca="1">Ratio</f>
        <v>#N/A</v>
      </c>
      <c r="BX13" s="256" t="e">
        <f ca="1">(BV13/(BW13^2))</f>
        <v>#N/A</v>
      </c>
      <c r="BZ13" s="250" t="s">
        <v>580</v>
      </c>
      <c r="CA13" s="251">
        <v>2.7549999999999999</v>
      </c>
      <c r="CB13" s="251">
        <v>0</v>
      </c>
      <c r="CC13" s="251">
        <v>7.76</v>
      </c>
      <c r="CD13" s="251">
        <v>0.28299999999999997</v>
      </c>
      <c r="CE13" s="257">
        <v>1</v>
      </c>
      <c r="CF13" s="253">
        <f>((PI()*CC13*CD13/4)*(CA13^2-CB13^2))*CE13</f>
        <v>13.091253857864626</v>
      </c>
      <c r="CG13" s="254">
        <f>(((CF13/386.4)*(CA13^2+CB13^2))/8)</f>
        <v>3.2143809544040808E-2</v>
      </c>
      <c r="CH13" s="255" t="e">
        <f ca="1">Ratio</f>
        <v>#N/A</v>
      </c>
      <c r="CI13" s="256" t="e">
        <f ca="1">(CG13/(CH13^2))</f>
        <v>#N/A</v>
      </c>
      <c r="CK13" s="250" t="s">
        <v>580</v>
      </c>
      <c r="CL13" s="251">
        <v>2.7549999999999999</v>
      </c>
      <c r="CM13" s="251">
        <v>0</v>
      </c>
      <c r="CN13" s="251">
        <v>7.76</v>
      </c>
      <c r="CO13" s="251">
        <v>0.28299999999999997</v>
      </c>
      <c r="CP13" s="257">
        <v>1</v>
      </c>
      <c r="CQ13" s="253">
        <f>((PI()*CN13*CO13/4)*(CL13^2-CM13^2))*CP13</f>
        <v>13.091253857864626</v>
      </c>
      <c r="CR13" s="254">
        <f>(((CQ13/386.4)*(CL13^2+CM13^2))/8)</f>
        <v>3.2143809544040808E-2</v>
      </c>
      <c r="CS13" s="255" t="e">
        <f ca="1">Ratio</f>
        <v>#N/A</v>
      </c>
      <c r="CT13" s="256" t="e">
        <f ca="1">(CR13/(CS13^2))</f>
        <v>#N/A</v>
      </c>
      <c r="CV13" s="250"/>
      <c r="CW13" s="251"/>
      <c r="CX13" s="251"/>
      <c r="CY13" s="339"/>
      <c r="CZ13" s="251"/>
      <c r="DA13" s="257"/>
      <c r="DB13" s="253"/>
      <c r="DC13" s="254"/>
      <c r="DD13" s="255"/>
      <c r="DE13" s="256"/>
      <c r="DG13" s="250"/>
      <c r="DH13" s="339"/>
      <c r="DI13" s="339"/>
      <c r="DJ13" s="339"/>
      <c r="DK13" s="254"/>
      <c r="DL13" s="257"/>
      <c r="DM13" s="340"/>
      <c r="DN13" s="254"/>
      <c r="DO13" s="255"/>
      <c r="DP13" s="256"/>
      <c r="DR13" s="250"/>
      <c r="DS13" s="341"/>
      <c r="DT13" s="341"/>
      <c r="DU13" s="258"/>
      <c r="DV13" s="251"/>
      <c r="DW13" s="252"/>
      <c r="DX13" s="340"/>
      <c r="DY13" s="254"/>
      <c r="DZ13" s="341"/>
      <c r="EA13" s="256"/>
      <c r="EC13" s="250" t="s">
        <v>580</v>
      </c>
      <c r="ED13" s="255">
        <v>2.75</v>
      </c>
      <c r="EE13" s="339">
        <v>0</v>
      </c>
      <c r="EF13" s="339">
        <v>5.44</v>
      </c>
      <c r="EG13" s="251">
        <v>0.28299999999999997</v>
      </c>
      <c r="EH13" s="252">
        <v>1</v>
      </c>
      <c r="EI13" s="340">
        <f>((PI()*EF13*EG13/4)*(ED13^2-EE13^2))*EH13</f>
        <v>9.1440923651343997</v>
      </c>
      <c r="EJ13" s="254">
        <f>(((EI13/386.4)*(ED13^2+EE13^2))/8)</f>
        <v>2.2370664632288078E-2</v>
      </c>
      <c r="EK13" s="341" t="e">
        <f ca="1">Ratio</f>
        <v>#N/A</v>
      </c>
      <c r="EL13" s="256" t="e">
        <f ca="1">(EJ13/(EK13^2))</f>
        <v>#N/A</v>
      </c>
      <c r="EN13" s="250" t="s">
        <v>580</v>
      </c>
      <c r="EO13" s="255">
        <v>2.75</v>
      </c>
      <c r="EP13" s="339">
        <v>0</v>
      </c>
      <c r="EQ13" s="339">
        <v>5.44</v>
      </c>
      <c r="ER13" s="251">
        <v>0.28299999999999997</v>
      </c>
      <c r="ES13" s="252">
        <v>1</v>
      </c>
      <c r="ET13" s="340">
        <f>((PI()*EQ13*ER13/4)*(EO13^2-EP13^2))*ES13</f>
        <v>9.1440923651343997</v>
      </c>
      <c r="EU13" s="254">
        <f>(((ET13/386.4)*(EO13^2+EP13^2))/8)</f>
        <v>2.2370664632288078E-2</v>
      </c>
      <c r="EV13" s="341" t="e">
        <f ca="1">Ratio</f>
        <v>#N/A</v>
      </c>
      <c r="EW13" s="256" t="e">
        <f ca="1">(EU13/(EV13^2))</f>
        <v>#N/A</v>
      </c>
      <c r="EY13" s="250" t="s">
        <v>580</v>
      </c>
      <c r="EZ13" s="339">
        <v>2</v>
      </c>
      <c r="FA13" s="339">
        <v>0</v>
      </c>
      <c r="FB13" s="339">
        <v>3.52</v>
      </c>
      <c r="FC13" s="251">
        <v>0.28299999999999997</v>
      </c>
      <c r="FD13" s="252">
        <v>1</v>
      </c>
      <c r="FE13" s="340">
        <f t="shared" si="0"/>
        <v>3.129528937800008</v>
      </c>
      <c r="FF13" s="254">
        <f t="shared" si="1"/>
        <v>4.0495974868012524E-3</v>
      </c>
      <c r="FG13" s="341" t="e">
        <f ca="1">Ratio</f>
        <v>#N/A</v>
      </c>
      <c r="FH13" s="256" t="e">
        <f t="shared" ca="1" si="2"/>
        <v>#N/A</v>
      </c>
      <c r="FJ13" s="250" t="s">
        <v>580</v>
      </c>
      <c r="FK13" s="339">
        <v>2</v>
      </c>
      <c r="FL13" s="339">
        <v>0</v>
      </c>
      <c r="FM13" s="339">
        <v>3.52</v>
      </c>
      <c r="FN13" s="251">
        <v>0.28299999999999997</v>
      </c>
      <c r="FO13" s="252">
        <v>1</v>
      </c>
      <c r="FP13" s="340">
        <f t="shared" si="3"/>
        <v>3.129528937800008</v>
      </c>
      <c r="FQ13" s="254">
        <f t="shared" si="4"/>
        <v>4.0495974868012524E-3</v>
      </c>
      <c r="FR13" s="341" t="e">
        <f ca="1">Ratio</f>
        <v>#N/A</v>
      </c>
      <c r="FS13" s="256" t="e">
        <f t="shared" ca="1" si="5"/>
        <v>#N/A</v>
      </c>
      <c r="FU13" s="250" t="s">
        <v>580</v>
      </c>
      <c r="FV13" s="378">
        <v>2</v>
      </c>
      <c r="FW13" s="378">
        <v>0</v>
      </c>
      <c r="FX13" s="380">
        <v>3.52</v>
      </c>
      <c r="FY13" s="251">
        <v>0.28299999999999997</v>
      </c>
      <c r="FZ13" s="252">
        <v>1</v>
      </c>
      <c r="GA13" s="340">
        <f t="shared" si="6"/>
        <v>3.129528937800008</v>
      </c>
      <c r="GB13" s="254">
        <f t="shared" si="7"/>
        <v>4.0495974868012524E-3</v>
      </c>
      <c r="GC13" s="341" t="e">
        <f t="shared" ca="1" si="8"/>
        <v>#N/A</v>
      </c>
      <c r="GD13" s="256" t="e">
        <f t="shared" ca="1" si="9"/>
        <v>#N/A</v>
      </c>
    </row>
    <row r="14" spans="1:186" ht="15.75" x14ac:dyDescent="0.25">
      <c r="A14" s="250" t="s">
        <v>585</v>
      </c>
      <c r="B14" s="251">
        <v>2</v>
      </c>
      <c r="C14" s="251">
        <v>1</v>
      </c>
      <c r="D14" s="251">
        <v>0.75</v>
      </c>
      <c r="E14" s="251">
        <v>0.28299999999999997</v>
      </c>
      <c r="F14" s="257">
        <v>2</v>
      </c>
      <c r="G14" s="253">
        <f>((PI()*D14*E14/4)*(B14^2-C14^2))*F14</f>
        <v>1.0002045610866503</v>
      </c>
      <c r="H14" s="254">
        <f>(((G14/386.4)*(B14^2+C14^2))/8)</f>
        <v>1.6178257005154155E-3</v>
      </c>
      <c r="I14" s="255" t="e">
        <f ca="1">Ratio</f>
        <v>#N/A</v>
      </c>
      <c r="J14" s="256" t="e">
        <f ca="1">(H14/(I14^2))</f>
        <v>#N/A</v>
      </c>
      <c r="L14" s="250" t="s">
        <v>585</v>
      </c>
      <c r="M14" s="251">
        <v>2</v>
      </c>
      <c r="N14" s="251">
        <v>1</v>
      </c>
      <c r="O14" s="251">
        <v>0.75</v>
      </c>
      <c r="P14" s="251">
        <v>0.28299999999999997</v>
      </c>
      <c r="Q14" s="257">
        <v>2</v>
      </c>
      <c r="R14" s="253">
        <f>((PI()*P14*O14/4)*(M14^2-N14^2))*Q14</f>
        <v>1.0002045610866503</v>
      </c>
      <c r="S14" s="254">
        <f>(((R14/386.4)*(M14^2+N14^2))/8)</f>
        <v>1.6178257005154155E-3</v>
      </c>
      <c r="T14" s="255" t="e">
        <f ca="1">Ratio</f>
        <v>#N/A</v>
      </c>
      <c r="U14" s="256" t="e">
        <f ca="1">(S14/(T14^2))</f>
        <v>#N/A</v>
      </c>
      <c r="W14" s="250" t="s">
        <v>585</v>
      </c>
      <c r="X14" s="251">
        <v>2</v>
      </c>
      <c r="Y14" s="251">
        <v>1</v>
      </c>
      <c r="Z14" s="251">
        <v>0.75</v>
      </c>
      <c r="AA14" s="251">
        <v>0.28299999999999997</v>
      </c>
      <c r="AB14" s="257">
        <v>2</v>
      </c>
      <c r="AC14" s="253">
        <f>((PI()*Z14*AA14/4)*(X14^2-Y14^2))*AB14</f>
        <v>1.0002045610866503</v>
      </c>
      <c r="AD14" s="254">
        <f>(((AC14/386.4)*(X14^2+Y14^2))/8)</f>
        <v>1.6178257005154155E-3</v>
      </c>
      <c r="AE14" s="255" t="e">
        <f ca="1">Ratio</f>
        <v>#N/A</v>
      </c>
      <c r="AF14" s="256" t="e">
        <f ca="1">(AD14/(AE14^2))</f>
        <v>#N/A</v>
      </c>
      <c r="AH14" s="250" t="s">
        <v>585</v>
      </c>
      <c r="AI14" s="251">
        <v>2</v>
      </c>
      <c r="AJ14" s="251">
        <v>1</v>
      </c>
      <c r="AK14" s="251">
        <v>0.75</v>
      </c>
      <c r="AL14" s="251">
        <v>0.28299999999999997</v>
      </c>
      <c r="AM14" s="257">
        <v>2</v>
      </c>
      <c r="AN14" s="253">
        <f>((PI()*AK14*AL14/4)*(AI14^2-AJ14^2))*AM14</f>
        <v>1.0002045610866503</v>
      </c>
      <c r="AO14" s="254">
        <f>(((AN14/386.4)*(AI14^2+AJ14^2))/8)</f>
        <v>1.6178257005154155E-3</v>
      </c>
      <c r="AP14" s="255" t="e">
        <f ca="1">Ratio</f>
        <v>#N/A</v>
      </c>
      <c r="AQ14" s="256" t="e">
        <f ca="1">(AO14/(AP14^2))</f>
        <v>#N/A</v>
      </c>
      <c r="AS14" s="250"/>
      <c r="AT14" s="251"/>
      <c r="AU14" s="251"/>
      <c r="AV14" s="251"/>
      <c r="AW14" s="251"/>
      <c r="AX14" s="245"/>
      <c r="AY14" s="253"/>
      <c r="AZ14" s="254"/>
      <c r="BA14" s="251"/>
      <c r="BB14" s="256"/>
      <c r="BD14" s="250"/>
      <c r="BE14" s="251"/>
      <c r="BF14" s="251"/>
      <c r="BG14" s="251"/>
      <c r="BH14" s="251"/>
      <c r="BI14" s="245"/>
      <c r="BJ14" s="253"/>
      <c r="BK14" s="254"/>
      <c r="BL14" s="251"/>
      <c r="BM14" s="245"/>
      <c r="BO14" s="250"/>
      <c r="BP14" s="251"/>
      <c r="BQ14" s="251"/>
      <c r="BR14" s="251"/>
      <c r="BS14" s="251"/>
      <c r="BT14" s="245"/>
      <c r="BU14" s="253"/>
      <c r="BV14" s="254"/>
      <c r="BW14" s="245"/>
      <c r="BX14" s="245"/>
      <c r="BZ14" s="250"/>
      <c r="CA14" s="251"/>
      <c r="CB14" s="251"/>
      <c r="CC14" s="251"/>
      <c r="CD14" s="251"/>
      <c r="CE14" s="245"/>
      <c r="CF14" s="253"/>
      <c r="CG14" s="254"/>
      <c r="CH14" s="245"/>
      <c r="CI14" s="245"/>
      <c r="CK14" s="250"/>
      <c r="CL14" s="251"/>
      <c r="CM14" s="251"/>
      <c r="CN14" s="251"/>
      <c r="CO14" s="251"/>
      <c r="CP14" s="245"/>
      <c r="CQ14" s="253"/>
      <c r="CR14" s="254"/>
      <c r="CS14" s="245"/>
      <c r="CT14" s="245"/>
      <c r="CV14" s="250" t="s">
        <v>584</v>
      </c>
      <c r="CW14" s="251">
        <v>4</v>
      </c>
      <c r="CX14" s="251">
        <v>1.7497</v>
      </c>
      <c r="CY14" s="339">
        <v>1.25</v>
      </c>
      <c r="CZ14" s="251">
        <v>0.28299999999999997</v>
      </c>
      <c r="DA14" s="257">
        <v>2</v>
      </c>
      <c r="DB14" s="253">
        <f>((PI()*CY14*CZ14/4)*(CW14^2-CX14^2))*DA14</f>
        <v>7.1895536854607043</v>
      </c>
      <c r="DC14" s="254">
        <f>(((DB14/386.4)*(CW14^2+CX14^2))/8)</f>
        <v>4.4333371747148291E-2</v>
      </c>
      <c r="DD14" s="255" t="e">
        <f ca="1">(CW14/CW15)*Ratio</f>
        <v>#N/A</v>
      </c>
      <c r="DE14" s="256" t="e">
        <f ca="1">(DC14/(DD14^2))</f>
        <v>#N/A</v>
      </c>
      <c r="DG14" s="250" t="s">
        <v>584</v>
      </c>
      <c r="DH14" s="339">
        <v>4</v>
      </c>
      <c r="DI14" s="339">
        <v>1.7497</v>
      </c>
      <c r="DJ14" s="339">
        <v>1.25</v>
      </c>
      <c r="DK14" s="254">
        <v>0.28299999999999997</v>
      </c>
      <c r="DL14" s="257">
        <v>2</v>
      </c>
      <c r="DM14" s="340">
        <f>((PI()*DJ14*DK14/4)*(DH14^2-DI14^2))*DL14</f>
        <v>7.1895536854607043</v>
      </c>
      <c r="DN14" s="254">
        <f>(((DM14/386.4)*(DH14^2+DI14^2))/8)</f>
        <v>4.4333371747148291E-2</v>
      </c>
      <c r="DO14" s="255" t="e">
        <f ca="1">(DH14/DH15)*Ratio</f>
        <v>#N/A</v>
      </c>
      <c r="DP14" s="256" t="e">
        <f ca="1">(DN14/(DO14^2))</f>
        <v>#N/A</v>
      </c>
      <c r="DR14" s="250" t="s">
        <v>663</v>
      </c>
      <c r="DS14" s="255">
        <v>5.33</v>
      </c>
      <c r="DT14" s="339">
        <v>2</v>
      </c>
      <c r="DU14" s="339">
        <v>2</v>
      </c>
      <c r="DV14" s="251">
        <v>0.28299999999999997</v>
      </c>
      <c r="DW14" s="252">
        <v>2</v>
      </c>
      <c r="DX14" s="340">
        <f>((PI()*DU14*DV14/4)*(DS14^2-DT14^2))*DW14</f>
        <v>21.701238320984832</v>
      </c>
      <c r="DY14" s="254">
        <f>(((DX14/386.4)*(DS14^2+DT14^2))/8)</f>
        <v>0.22752111239032266</v>
      </c>
      <c r="DZ14" s="341" t="e">
        <f ca="1">Ratio</f>
        <v>#N/A</v>
      </c>
      <c r="EA14" s="256" t="e">
        <f ca="1">(DY14/(DZ14^2))</f>
        <v>#N/A</v>
      </c>
      <c r="EC14" s="250"/>
      <c r="ED14" s="255">
        <v>3.4990000000000001</v>
      </c>
      <c r="EE14" s="339">
        <v>0</v>
      </c>
      <c r="EF14" s="339">
        <v>6.3920000000000003</v>
      </c>
      <c r="EG14" s="251">
        <v>0.28299999999999997</v>
      </c>
      <c r="EH14" s="252">
        <v>1</v>
      </c>
      <c r="EI14" s="340">
        <f>((PI()*EF14*EG14/4)*(ED14^2-EE14^2))*EH14</f>
        <v>17.39406017391849</v>
      </c>
      <c r="EJ14" s="254">
        <f>(((EI14/386.4)*(ED14^2+EE14^2))/8)</f>
        <v>6.8890882538607756E-2</v>
      </c>
      <c r="EK14" s="341" t="e">
        <f ca="1">Ratio</f>
        <v>#N/A</v>
      </c>
      <c r="EL14" s="256" t="e">
        <f ca="1">(EJ14/(EK14^2))</f>
        <v>#N/A</v>
      </c>
      <c r="EN14" s="250"/>
      <c r="EO14" s="255">
        <v>3.4990000000000001</v>
      </c>
      <c r="EP14" s="339">
        <v>0</v>
      </c>
      <c r="EQ14" s="339">
        <v>6.3920000000000003</v>
      </c>
      <c r="ER14" s="251">
        <v>0.28299999999999997</v>
      </c>
      <c r="ES14" s="252">
        <v>1</v>
      </c>
      <c r="ET14" s="340">
        <f>((PI()*EQ14*ER14/4)*(EO14^2-EP14^2))*ES14</f>
        <v>17.39406017391849</v>
      </c>
      <c r="EU14" s="254">
        <f>(((ET14/386.4)*(EO14^2+EP14^2))/8)</f>
        <v>6.8890882538607756E-2</v>
      </c>
      <c r="EV14" s="341" t="e">
        <f ca="1">Ratio</f>
        <v>#N/A</v>
      </c>
      <c r="EW14" s="256" t="e">
        <f ca="1">(EU14/(EV14^2))</f>
        <v>#N/A</v>
      </c>
      <c r="EY14" s="250"/>
      <c r="EZ14" s="339">
        <v>2.75</v>
      </c>
      <c r="FA14" s="339">
        <v>0</v>
      </c>
      <c r="FB14" s="339">
        <v>1.63</v>
      </c>
      <c r="FC14" s="251">
        <v>0.28299999999999997</v>
      </c>
      <c r="FD14" s="252">
        <v>1</v>
      </c>
      <c r="FE14" s="340">
        <f t="shared" si="0"/>
        <v>2.739865910876667</v>
      </c>
      <c r="FF14" s="254">
        <f t="shared" si="1"/>
        <v>6.7029748806304336E-3</v>
      </c>
      <c r="FG14" s="341" t="e">
        <f ca="1">Ratio</f>
        <v>#N/A</v>
      </c>
      <c r="FH14" s="256" t="e">
        <f t="shared" ca="1" si="2"/>
        <v>#N/A</v>
      </c>
      <c r="FK14" s="339">
        <v>2.75</v>
      </c>
      <c r="FL14" s="339">
        <v>0</v>
      </c>
      <c r="FM14" s="339">
        <v>1.63</v>
      </c>
      <c r="FN14" s="251">
        <v>0.28299999999999997</v>
      </c>
      <c r="FO14" s="252">
        <v>1</v>
      </c>
      <c r="FP14" s="340">
        <f t="shared" si="3"/>
        <v>2.739865910876667</v>
      </c>
      <c r="FQ14" s="254">
        <f t="shared" si="4"/>
        <v>6.7029748806304336E-3</v>
      </c>
      <c r="FR14" s="341" t="e">
        <f ca="1">Ratio</f>
        <v>#N/A</v>
      </c>
      <c r="FS14" s="256" t="e">
        <f t="shared" ca="1" si="5"/>
        <v>#N/A</v>
      </c>
      <c r="FV14" s="378">
        <v>3.5</v>
      </c>
      <c r="FW14" s="378">
        <v>0</v>
      </c>
      <c r="FX14" s="380">
        <v>8.75</v>
      </c>
      <c r="FY14" s="251">
        <v>0.28299999999999997</v>
      </c>
      <c r="FZ14" s="252">
        <v>1</v>
      </c>
      <c r="GA14" s="340">
        <f t="shared" si="6"/>
        <v>23.824316975883406</v>
      </c>
      <c r="GB14" s="254">
        <f t="shared" si="7"/>
        <v>9.4412488015842302E-2</v>
      </c>
      <c r="GC14" s="341" t="e">
        <f t="shared" ca="1" si="8"/>
        <v>#N/A</v>
      </c>
      <c r="GD14" s="256" t="e">
        <f t="shared" ca="1" si="9"/>
        <v>#N/A</v>
      </c>
    </row>
    <row r="15" spans="1:186" ht="15.75" x14ac:dyDescent="0.25">
      <c r="A15" s="250"/>
      <c r="B15" s="251"/>
      <c r="C15" s="251"/>
      <c r="D15" s="251"/>
      <c r="E15" s="251"/>
      <c r="F15" s="245"/>
      <c r="G15" s="253"/>
      <c r="H15" s="254"/>
      <c r="I15" s="255"/>
      <c r="J15" s="256"/>
      <c r="L15" s="250"/>
      <c r="M15" s="251"/>
      <c r="N15" s="251"/>
      <c r="O15" s="251"/>
      <c r="P15" s="251"/>
      <c r="Q15" s="245"/>
      <c r="R15" s="253"/>
      <c r="S15" s="254"/>
      <c r="T15" s="255"/>
      <c r="U15" s="256"/>
      <c r="W15" s="250"/>
      <c r="X15" s="251"/>
      <c r="Y15" s="251"/>
      <c r="Z15" s="251"/>
      <c r="AA15" s="251"/>
      <c r="AB15" s="245"/>
      <c r="AC15" s="253"/>
      <c r="AD15" s="254"/>
      <c r="AE15" s="255"/>
      <c r="AF15" s="256"/>
      <c r="AH15" s="250"/>
      <c r="AI15" s="251"/>
      <c r="AJ15" s="251"/>
      <c r="AK15" s="251"/>
      <c r="AL15" s="251"/>
      <c r="AM15" s="245"/>
      <c r="AN15" s="253"/>
      <c r="AO15" s="254"/>
      <c r="AP15" s="245"/>
      <c r="AQ15" s="245"/>
      <c r="AS15" s="250" t="s">
        <v>584</v>
      </c>
      <c r="AT15" s="251">
        <v>3</v>
      </c>
      <c r="AU15" s="251">
        <v>1.7497</v>
      </c>
      <c r="AV15" s="251">
        <v>1</v>
      </c>
      <c r="AW15" s="251">
        <v>0.28299999999999997</v>
      </c>
      <c r="AX15" s="257">
        <v>2</v>
      </c>
      <c r="AY15" s="253">
        <f>((PI()*AV15*AW15/4)*(AT15^2-AU15^2))*AX15</f>
        <v>2.6398954249878739</v>
      </c>
      <c r="AZ15" s="254">
        <f>(((AY15/386.4)*(AT15^2+AU15^2))/8)</f>
        <v>1.0300519834145505E-2</v>
      </c>
      <c r="BA15" s="251" t="e">
        <f ca="1">(AT15/AT16)*Ratio</f>
        <v>#N/A</v>
      </c>
      <c r="BB15" s="256" t="e">
        <f ca="1">(AZ15/(BA15^2))</f>
        <v>#N/A</v>
      </c>
      <c r="BD15" s="250" t="s">
        <v>584</v>
      </c>
      <c r="BE15" s="251">
        <v>3</v>
      </c>
      <c r="BF15" s="251">
        <v>1.7497</v>
      </c>
      <c r="BG15" s="251">
        <v>1</v>
      </c>
      <c r="BH15" s="251">
        <v>0.28299999999999997</v>
      </c>
      <c r="BI15" s="257">
        <v>2</v>
      </c>
      <c r="BJ15" s="253">
        <f>((PI()*BG15*BH15/4)*(BE15^2-BF15^2))*BI15</f>
        <v>2.6398954249878739</v>
      </c>
      <c r="BK15" s="254">
        <f>(((BJ15/386.4)*(BE15^2+BF15^2))/8)</f>
        <v>1.0300519834145505E-2</v>
      </c>
      <c r="BL15" s="251" t="e">
        <f ca="1">(BE15/BE16)*Ratio</f>
        <v>#N/A</v>
      </c>
      <c r="BM15" s="256" t="e">
        <f ca="1">(BK15/(BL15^2))</f>
        <v>#N/A</v>
      </c>
      <c r="BO15" s="250" t="s">
        <v>584</v>
      </c>
      <c r="BP15" s="251">
        <v>3</v>
      </c>
      <c r="BQ15" s="251">
        <v>1.7497</v>
      </c>
      <c r="BR15" s="251">
        <v>1</v>
      </c>
      <c r="BS15" s="251">
        <v>0.28299999999999997</v>
      </c>
      <c r="BT15" s="257">
        <v>2</v>
      </c>
      <c r="BU15" s="253">
        <f>((PI()*BR15*BS15/4)*(BP15^2-BQ15^2))*BT15</f>
        <v>2.6398954249878739</v>
      </c>
      <c r="BV15" s="254">
        <f>(((BU15/386.4)*(BP15^2+BQ15^2))/8)</f>
        <v>1.0300519834145505E-2</v>
      </c>
      <c r="BW15" s="255" t="e">
        <f ca="1">(BP15/BP16)*Ratio</f>
        <v>#N/A</v>
      </c>
      <c r="BX15" s="256" t="e">
        <f ca="1">(BV15/(BW15^2))</f>
        <v>#N/A</v>
      </c>
      <c r="BZ15" s="250" t="s">
        <v>584</v>
      </c>
      <c r="CA15" s="251">
        <v>4</v>
      </c>
      <c r="CB15" s="251">
        <v>1.7497</v>
      </c>
      <c r="CC15" s="251">
        <v>1.25</v>
      </c>
      <c r="CD15" s="251">
        <v>0.28299999999999997</v>
      </c>
      <c r="CE15" s="257">
        <v>2</v>
      </c>
      <c r="CF15" s="253">
        <f>((PI()*CC15*CD15/4)*(CA15^2-CB15^2))*CE15</f>
        <v>7.1895536854607043</v>
      </c>
      <c r="CG15" s="254">
        <f>(((CF15/386.4)*(CA15^2+CB15^2))/8)</f>
        <v>4.4333371747148291E-2</v>
      </c>
      <c r="CH15" s="255" t="e">
        <f ca="1">(CA15/CA16)*Ratio</f>
        <v>#N/A</v>
      </c>
      <c r="CI15" s="256" t="e">
        <f ca="1">(CG15/(CH15^2))</f>
        <v>#N/A</v>
      </c>
      <c r="CK15" s="250" t="s">
        <v>584</v>
      </c>
      <c r="CL15" s="251">
        <v>4</v>
      </c>
      <c r="CM15" s="251">
        <v>1.7497</v>
      </c>
      <c r="CN15" s="251">
        <v>1.25</v>
      </c>
      <c r="CO15" s="251">
        <v>0.28299999999999997</v>
      </c>
      <c r="CP15" s="257">
        <v>2</v>
      </c>
      <c r="CQ15" s="253">
        <f>((PI()*CN15*CO15/4)*(CL15^2-CM15^2))*CP15</f>
        <v>7.1895536854607043</v>
      </c>
      <c r="CR15" s="254">
        <f>(((CQ15/386.4)*(CL15^2+CM15^2))/8)</f>
        <v>4.4333371747148291E-2</v>
      </c>
      <c r="CS15" s="255" t="e">
        <f ca="1">(CL15/CL16)*Ratio</f>
        <v>#N/A</v>
      </c>
      <c r="CT15" s="256" t="e">
        <f ca="1">(CR15/(CS15^2))</f>
        <v>#N/A</v>
      </c>
      <c r="CV15" s="250" t="s">
        <v>585</v>
      </c>
      <c r="CW15" s="251">
        <v>3.5</v>
      </c>
      <c r="CX15" s="251">
        <v>1.85</v>
      </c>
      <c r="CY15" s="339">
        <v>1.25</v>
      </c>
      <c r="CZ15" s="251">
        <v>0.28299999999999997</v>
      </c>
      <c r="DA15" s="257">
        <v>2</v>
      </c>
      <c r="DB15" s="253">
        <f>((PI()*CY15*CZ15/4)*(CW15^2-CX15^2))*DA15</f>
        <v>4.9051698683291143</v>
      </c>
      <c r="DC15" s="254">
        <f>(((DB15/386.4)*(CW15^2+CX15^2))/8)</f>
        <v>2.4869395303244061E-2</v>
      </c>
      <c r="DD15" s="255" t="e">
        <f ca="1">Ratio</f>
        <v>#N/A</v>
      </c>
      <c r="DE15" s="256" t="e">
        <f ca="1">(DC15/(DD15^2))</f>
        <v>#N/A</v>
      </c>
      <c r="DG15" s="250" t="s">
        <v>585</v>
      </c>
      <c r="DH15" s="339">
        <v>3.5</v>
      </c>
      <c r="DI15" s="339">
        <v>1.85</v>
      </c>
      <c r="DJ15" s="339">
        <v>1.25</v>
      </c>
      <c r="DK15" s="254">
        <v>0.28299999999999997</v>
      </c>
      <c r="DL15" s="257">
        <v>2</v>
      </c>
      <c r="DM15" s="340">
        <f>((PI()*DJ15*DK15/4)*(DH15^2-DI15^2))*DL15</f>
        <v>4.9051698683291143</v>
      </c>
      <c r="DN15" s="254">
        <f>(((DM15/386.4)*(DH15^2+DI15^2))/8)</f>
        <v>2.4869395303244061E-2</v>
      </c>
      <c r="DO15" s="255" t="e">
        <f ca="1">Ratio</f>
        <v>#N/A</v>
      </c>
      <c r="DP15" s="256" t="e">
        <f ca="1">(DN15/(DO15^2))</f>
        <v>#N/A</v>
      </c>
      <c r="DR15" s="250" t="s">
        <v>593</v>
      </c>
      <c r="DS15" s="255">
        <v>3.125</v>
      </c>
      <c r="DT15" s="339">
        <v>2</v>
      </c>
      <c r="DU15" s="339">
        <v>1.5</v>
      </c>
      <c r="DV15" s="251">
        <v>0.28299999999999997</v>
      </c>
      <c r="DW15" s="252">
        <v>2</v>
      </c>
      <c r="DX15" s="340">
        <f>((PI()*DU15*DV15/4)*(DS15^2-DT15^2))*DW15</f>
        <v>3.8445362816768123</v>
      </c>
      <c r="DY15" s="254">
        <f>(((DX15/386.4)*(DS15^2+DT15^2))/8)</f>
        <v>1.7120356092280464E-2</v>
      </c>
      <c r="DZ15" s="341" t="e">
        <f ca="1">Ratio</f>
        <v>#N/A</v>
      </c>
      <c r="EA15" s="256" t="e">
        <f ca="1">(DY15/(DZ15^2))</f>
        <v>#N/A</v>
      </c>
      <c r="EZ15" s="339">
        <v>3.5</v>
      </c>
      <c r="FA15" s="339">
        <v>0</v>
      </c>
      <c r="FB15" s="339">
        <v>6.3719999999999999</v>
      </c>
      <c r="FC15" s="251">
        <v>0.28299999999999997</v>
      </c>
      <c r="FD15" s="252">
        <v>1</v>
      </c>
      <c r="FE15" s="340">
        <f t="shared" si="0"/>
        <v>17.349548316609035</v>
      </c>
      <c r="FF15" s="254">
        <f t="shared" si="1"/>
        <v>6.8753871272793962E-2</v>
      </c>
      <c r="FG15" s="341" t="e">
        <f ca="1">Ratio</f>
        <v>#N/A</v>
      </c>
      <c r="FH15" s="256" t="e">
        <f t="shared" ca="1" si="2"/>
        <v>#N/A</v>
      </c>
      <c r="FK15" s="339">
        <v>3.5</v>
      </c>
      <c r="FL15" s="339">
        <v>0</v>
      </c>
      <c r="FM15" s="339">
        <v>6.3719999999999999</v>
      </c>
      <c r="FN15" s="251">
        <v>0.28299999999999997</v>
      </c>
      <c r="FO15" s="252">
        <v>1</v>
      </c>
      <c r="FP15" s="340">
        <f t="shared" si="3"/>
        <v>17.349548316609035</v>
      </c>
      <c r="FQ15" s="254">
        <f t="shared" si="4"/>
        <v>6.8753871272793962E-2</v>
      </c>
      <c r="FR15" s="341" t="e">
        <f ca="1">Ratio</f>
        <v>#N/A</v>
      </c>
      <c r="FS15" s="256" t="e">
        <f t="shared" ca="1" si="5"/>
        <v>#N/A</v>
      </c>
      <c r="FV15" s="378">
        <v>4.33</v>
      </c>
      <c r="FW15" s="378">
        <v>0</v>
      </c>
      <c r="FX15" s="380">
        <v>2.13</v>
      </c>
      <c r="FY15" s="251">
        <v>0.28299999999999997</v>
      </c>
      <c r="FZ15" s="252">
        <v>1</v>
      </c>
      <c r="GA15" s="340">
        <f t="shared" si="6"/>
        <v>8.8762947064692135</v>
      </c>
      <c r="GB15" s="254">
        <f t="shared" si="7"/>
        <v>5.3836944171234684E-2</v>
      </c>
      <c r="GC15" s="341" t="e">
        <f t="shared" ca="1" si="8"/>
        <v>#N/A</v>
      </c>
      <c r="GD15" s="256" t="e">
        <f t="shared" ca="1" si="9"/>
        <v>#N/A</v>
      </c>
    </row>
    <row r="16" spans="1:186" ht="15.75" x14ac:dyDescent="0.25">
      <c r="A16" s="250" t="s">
        <v>587</v>
      </c>
      <c r="B16" s="251">
        <v>6.9610000000000003</v>
      </c>
      <c r="C16" s="251">
        <v>4.88</v>
      </c>
      <c r="D16" s="251">
        <v>1.28</v>
      </c>
      <c r="E16" s="251">
        <v>0.28299999999999997</v>
      </c>
      <c r="F16" s="257">
        <v>1</v>
      </c>
      <c r="G16" s="253">
        <f>((PI()*D16*E16/4)*(B16^2-C16^2))*F16</f>
        <v>7.0104637481210448</v>
      </c>
      <c r="H16" s="254">
        <f>(((G16/386.4)*(B16^2+C16^2))/8)</f>
        <v>0.16389934693648806</v>
      </c>
      <c r="I16" s="255" t="e">
        <f ca="1">Ratio</f>
        <v>#N/A</v>
      </c>
      <c r="J16" s="256" t="e">
        <f ca="1">(H16/(I16^2))</f>
        <v>#N/A</v>
      </c>
      <c r="L16" s="250" t="s">
        <v>587</v>
      </c>
      <c r="M16" s="251">
        <v>5.5940000000000003</v>
      </c>
      <c r="N16" s="251">
        <v>4.88</v>
      </c>
      <c r="O16" s="251">
        <v>1.28</v>
      </c>
      <c r="P16" s="251">
        <v>0.28299999999999997</v>
      </c>
      <c r="Q16" s="257">
        <v>1</v>
      </c>
      <c r="R16" s="253">
        <f>((PI()*P16*O16/4)*(M16^2-N16^2))*Q16</f>
        <v>2.1276347155895783</v>
      </c>
      <c r="S16" s="254">
        <f>(((R16/386.4)*(M16^2+N16^2))/8)</f>
        <v>3.7929628750578342E-2</v>
      </c>
      <c r="T16" s="255" t="e">
        <f ca="1">Ratio</f>
        <v>#N/A</v>
      </c>
      <c r="U16" s="256" t="e">
        <f ca="1">(S16/(T16^2))</f>
        <v>#N/A</v>
      </c>
      <c r="W16" s="250" t="s">
        <v>587</v>
      </c>
      <c r="X16" s="251">
        <v>5.5940000000000003</v>
      </c>
      <c r="Y16" s="251">
        <v>4.88</v>
      </c>
      <c r="Z16" s="251">
        <v>1.28</v>
      </c>
      <c r="AA16" s="251">
        <v>0.28299999999999997</v>
      </c>
      <c r="AB16" s="257">
        <v>1</v>
      </c>
      <c r="AC16" s="253">
        <f>((PI()*Z16*AA16/4)*(X16^2-Y16^2))*AB16</f>
        <v>2.1276347155895783</v>
      </c>
      <c r="AD16" s="254">
        <f>(((AC16/386.4)*(X16^2+Y16^2))/8)</f>
        <v>3.7929628750578342E-2</v>
      </c>
      <c r="AE16" s="255" t="e">
        <f ca="1">Ratio</f>
        <v>#N/A</v>
      </c>
      <c r="AF16" s="256" t="e">
        <f ca="1">(AD16/(AE16^2))</f>
        <v>#N/A</v>
      </c>
      <c r="AH16" s="250" t="s">
        <v>587</v>
      </c>
      <c r="AI16" s="251">
        <v>6.9610000000000003</v>
      </c>
      <c r="AJ16" s="251">
        <v>4.88</v>
      </c>
      <c r="AK16" s="251">
        <v>1.28</v>
      </c>
      <c r="AL16" s="251">
        <v>0.28299999999999997</v>
      </c>
      <c r="AM16" s="257">
        <v>1</v>
      </c>
      <c r="AN16" s="253">
        <f>((PI()*AK16*AL16/4)*(AI16^2-AJ16^2))*AM16</f>
        <v>7.0104637481210448</v>
      </c>
      <c r="AO16" s="254">
        <f>(((AN16/386.4)*(AI16^2+AJ16^2))/8)</f>
        <v>0.16389934693648806</v>
      </c>
      <c r="AP16" s="255" t="e">
        <f ca="1">Ratio</f>
        <v>#N/A</v>
      </c>
      <c r="AQ16" s="256" t="e">
        <f ca="1">(AO16/(AP16^2))</f>
        <v>#N/A</v>
      </c>
      <c r="AS16" s="250" t="s">
        <v>585</v>
      </c>
      <c r="AT16" s="251">
        <v>2.5</v>
      </c>
      <c r="AU16" s="251">
        <v>1.339</v>
      </c>
      <c r="AV16" s="251">
        <v>1</v>
      </c>
      <c r="AW16" s="251">
        <v>0.28299999999999997</v>
      </c>
      <c r="AX16" s="257">
        <v>2</v>
      </c>
      <c r="AY16" s="253">
        <f>((PI()*AV16*AW16/4)*(AT16^2-AU16^2))*AX16</f>
        <v>1.9813292199660117</v>
      </c>
      <c r="AZ16" s="254">
        <f>(((AY16/386.4)*(AT16^2+AU16^2))/8)</f>
        <v>5.1551741689888249E-3</v>
      </c>
      <c r="BA16" s="251" t="e">
        <f ca="1">Ratio</f>
        <v>#N/A</v>
      </c>
      <c r="BB16" s="256" t="e">
        <f ca="1">(AZ16/(BA16^2))</f>
        <v>#N/A</v>
      </c>
      <c r="BD16" s="250" t="s">
        <v>585</v>
      </c>
      <c r="BE16" s="251">
        <v>2.5</v>
      </c>
      <c r="BF16" s="251">
        <v>1.339</v>
      </c>
      <c r="BG16" s="251">
        <v>1</v>
      </c>
      <c r="BH16" s="251">
        <v>0.28299999999999997</v>
      </c>
      <c r="BI16" s="257">
        <v>2</v>
      </c>
      <c r="BJ16" s="253">
        <f>((PI()*BG16*BH16/4)*(BE16^2-BF16^2))*BI16</f>
        <v>1.9813292199660117</v>
      </c>
      <c r="BK16" s="254">
        <f>(((BJ16/386.4)*(BE16^2+BF16^2))/8)</f>
        <v>5.1551741689888249E-3</v>
      </c>
      <c r="BL16" s="251" t="e">
        <f ca="1">Ratio</f>
        <v>#N/A</v>
      </c>
      <c r="BM16" s="256" t="e">
        <f ca="1">(BK16/(BL16^2))</f>
        <v>#N/A</v>
      </c>
      <c r="BO16" s="250" t="s">
        <v>585</v>
      </c>
      <c r="BP16" s="251">
        <v>2.5</v>
      </c>
      <c r="BQ16" s="251">
        <v>1.339</v>
      </c>
      <c r="BR16" s="251">
        <v>1</v>
      </c>
      <c r="BS16" s="251">
        <v>0.28299999999999997</v>
      </c>
      <c r="BT16" s="257">
        <v>2</v>
      </c>
      <c r="BU16" s="253">
        <f>((PI()*BR16*BS16/4)*(BP16^2-BQ16^2))*BT16</f>
        <v>1.9813292199660117</v>
      </c>
      <c r="BV16" s="254">
        <f>(((BU16/386.4)*(BP16^2+BQ16^2))/8)</f>
        <v>5.1551741689888249E-3</v>
      </c>
      <c r="BW16" s="255" t="e">
        <f ca="1">Ratio</f>
        <v>#N/A</v>
      </c>
      <c r="BX16" s="256" t="e">
        <f ca="1">(BV16/(BW16^2))</f>
        <v>#N/A</v>
      </c>
      <c r="BZ16" s="250" t="s">
        <v>585</v>
      </c>
      <c r="CA16" s="251">
        <v>3.5</v>
      </c>
      <c r="CB16" s="251">
        <v>1.85</v>
      </c>
      <c r="CC16" s="251">
        <v>1.25</v>
      </c>
      <c r="CD16" s="251">
        <v>0.28299999999999997</v>
      </c>
      <c r="CE16" s="257">
        <v>2</v>
      </c>
      <c r="CF16" s="253">
        <f>((PI()*CC16*CD16/4)*(CA16^2-CB16^2))*CE16</f>
        <v>4.9051698683291143</v>
      </c>
      <c r="CG16" s="254">
        <f>(((CF16/386.4)*(CA16^2+CB16^2))/8)</f>
        <v>2.4869395303244061E-2</v>
      </c>
      <c r="CH16" s="255" t="e">
        <f ca="1">Ratio</f>
        <v>#N/A</v>
      </c>
      <c r="CI16" s="256" t="e">
        <f ca="1">(CG16/(CH16^2))</f>
        <v>#N/A</v>
      </c>
      <c r="CK16" s="250" t="s">
        <v>585</v>
      </c>
      <c r="CL16" s="251">
        <v>3.5</v>
      </c>
      <c r="CM16" s="251">
        <v>1.85</v>
      </c>
      <c r="CN16" s="251">
        <v>1.25</v>
      </c>
      <c r="CO16" s="251">
        <v>0.28299999999999997</v>
      </c>
      <c r="CP16" s="257">
        <v>2</v>
      </c>
      <c r="CQ16" s="253">
        <f>((PI()*CN16*CO16/4)*(CL16^2-CM16^2))*CP16</f>
        <v>4.9051698683291143</v>
      </c>
      <c r="CR16" s="254">
        <f>(((CQ16/386.4)*(CL16^2+CM16^2))/8)</f>
        <v>2.4869395303244061E-2</v>
      </c>
      <c r="CS16" s="255" t="e">
        <f ca="1">Ratio</f>
        <v>#N/A</v>
      </c>
      <c r="CT16" s="256" t="e">
        <f ca="1">(CR16/(CS16^2))</f>
        <v>#N/A</v>
      </c>
      <c r="CV16" s="250"/>
      <c r="CW16" s="251"/>
      <c r="CX16" s="251"/>
      <c r="CY16" s="339"/>
      <c r="CZ16" s="251"/>
      <c r="DA16" s="257"/>
      <c r="DB16" s="253"/>
      <c r="DC16" s="254"/>
      <c r="DD16" s="255"/>
      <c r="DE16" s="256"/>
      <c r="DG16" s="250"/>
      <c r="DH16" s="339"/>
      <c r="DI16" s="339"/>
      <c r="DJ16" s="339"/>
      <c r="DK16" s="254"/>
      <c r="DL16" s="245"/>
      <c r="DM16" s="340"/>
      <c r="DN16" s="254"/>
      <c r="DO16" s="255"/>
      <c r="DP16" s="256"/>
      <c r="DR16" s="250"/>
      <c r="DS16" s="341"/>
      <c r="DT16" s="341"/>
      <c r="DU16" s="339"/>
      <c r="DV16" s="251"/>
      <c r="DW16" s="252"/>
      <c r="DX16" s="340"/>
      <c r="DY16" s="254"/>
      <c r="DZ16" s="341"/>
      <c r="EA16" s="256"/>
      <c r="EC16" s="250" t="s">
        <v>589</v>
      </c>
      <c r="ED16" s="255">
        <v>5.83</v>
      </c>
      <c r="EE16" s="339">
        <v>2</v>
      </c>
      <c r="EF16" s="339">
        <v>2</v>
      </c>
      <c r="EG16" s="251">
        <v>0.28299999999999997</v>
      </c>
      <c r="EH16" s="252">
        <v>2</v>
      </c>
      <c r="EI16" s="340">
        <f>((PI()*EF16*EG16/4)*(ED16^2-EE16^2))*EH16</f>
        <v>26.662252943974618</v>
      </c>
      <c r="EJ16" s="254">
        <f>(((EI16/386.4)*(ED16^2+EE16^2))/8)</f>
        <v>0.32766228676997849</v>
      </c>
      <c r="EK16" s="341" t="e">
        <f ca="1">Ratio</f>
        <v>#N/A</v>
      </c>
      <c r="EL16" s="256" t="e">
        <f ca="1">(EJ16/(EK16^2))</f>
        <v>#N/A</v>
      </c>
      <c r="EN16" s="250" t="s">
        <v>589</v>
      </c>
      <c r="EO16" s="255">
        <v>5.83</v>
      </c>
      <c r="EP16" s="339">
        <v>2</v>
      </c>
      <c r="EQ16" s="339">
        <v>2</v>
      </c>
      <c r="ER16" s="251">
        <v>0.28299999999999997</v>
      </c>
      <c r="ES16" s="252">
        <v>2</v>
      </c>
      <c r="ET16" s="340">
        <f>((PI()*EQ16*ER16/4)*(EO16^2-EP16^2))*ES16</f>
        <v>26.662252943974618</v>
      </c>
      <c r="EU16" s="254">
        <f>(((ET16/386.4)*(EO16^2+EP16^2))/8)</f>
        <v>0.32766228676997849</v>
      </c>
      <c r="EV16" s="341" t="e">
        <f ca="1">Ratio</f>
        <v>#N/A</v>
      </c>
      <c r="EW16" s="256" t="e">
        <f ca="1">(EU16/(EV16^2))</f>
        <v>#N/A</v>
      </c>
      <c r="EY16" s="250" t="s">
        <v>594</v>
      </c>
      <c r="EZ16" s="339">
        <v>5.33</v>
      </c>
      <c r="FA16" s="339">
        <v>2</v>
      </c>
      <c r="FB16" s="339">
        <v>1.75</v>
      </c>
      <c r="FC16" s="251">
        <v>0.28299999999999997</v>
      </c>
      <c r="FD16" s="252">
        <v>2</v>
      </c>
      <c r="FE16" s="340">
        <f t="shared" si="0"/>
        <v>18.988583530861728</v>
      </c>
      <c r="FF16" s="254">
        <f t="shared" si="1"/>
        <v>0.19908097334153232</v>
      </c>
      <c r="FG16" s="341" t="e">
        <f ca="1">(EZ13/EZ14)*Ratio</f>
        <v>#N/A</v>
      </c>
      <c r="FH16" s="256" t="e">
        <f t="shared" ca="1" si="2"/>
        <v>#N/A</v>
      </c>
      <c r="FJ16" s="250" t="s">
        <v>594</v>
      </c>
      <c r="FK16" s="339">
        <v>5.33</v>
      </c>
      <c r="FL16" s="339">
        <v>2</v>
      </c>
      <c r="FM16" s="339">
        <v>1.75</v>
      </c>
      <c r="FN16" s="251">
        <v>0.28299999999999997</v>
      </c>
      <c r="FO16" s="252">
        <v>2</v>
      </c>
      <c r="FP16" s="340">
        <f t="shared" si="3"/>
        <v>18.988583530861728</v>
      </c>
      <c r="FQ16" s="254">
        <f t="shared" si="4"/>
        <v>0.19908097334153232</v>
      </c>
      <c r="FR16" s="341" t="e">
        <f ca="1">(FK13/FK14)*Ratio</f>
        <v>#N/A</v>
      </c>
      <c r="FS16" s="256" t="e">
        <f t="shared" ca="1" si="5"/>
        <v>#N/A</v>
      </c>
      <c r="FV16" s="378">
        <v>5.75</v>
      </c>
      <c r="FW16" s="378">
        <v>0</v>
      </c>
      <c r="FX16" s="379">
        <v>2</v>
      </c>
      <c r="FY16" s="251">
        <v>0.28299999999999997</v>
      </c>
      <c r="FZ16" s="252">
        <v>1</v>
      </c>
      <c r="GA16" s="340">
        <f t="shared" si="6"/>
        <v>14.697450355967721</v>
      </c>
      <c r="GB16" s="254">
        <f t="shared" si="7"/>
        <v>0.15719929231178276</v>
      </c>
      <c r="GC16" s="341" t="e">
        <f t="shared" ca="1" si="8"/>
        <v>#N/A</v>
      </c>
      <c r="GD16" s="256" t="e">
        <f t="shared" ca="1" si="9"/>
        <v>#N/A</v>
      </c>
    </row>
    <row r="17" spans="1:186" ht="15.75" x14ac:dyDescent="0.25">
      <c r="A17" s="250" t="s">
        <v>590</v>
      </c>
      <c r="B17" s="251">
        <v>4.88</v>
      </c>
      <c r="C17" s="251">
        <v>2.1875</v>
      </c>
      <c r="D17" s="251">
        <v>0.75</v>
      </c>
      <c r="E17" s="251">
        <v>0.28299999999999997</v>
      </c>
      <c r="F17" s="257">
        <v>1</v>
      </c>
      <c r="G17" s="253">
        <f>((PI()*D17*E17/4)*(B17^2-C17^2))*F17</f>
        <v>3.1721893987966054</v>
      </c>
      <c r="H17" s="254">
        <f>(((G17/386.4)*(B17^2+C17^2))/8)</f>
        <v>2.934886424253921E-2</v>
      </c>
      <c r="I17" s="255" t="e">
        <f ca="1">Ratio</f>
        <v>#N/A</v>
      </c>
      <c r="J17" s="256" t="e">
        <f ca="1">(H17/(I17^2))</f>
        <v>#N/A</v>
      </c>
      <c r="L17" s="250" t="s">
        <v>590</v>
      </c>
      <c r="M17" s="251">
        <v>4.88</v>
      </c>
      <c r="N17" s="251">
        <v>2.1875</v>
      </c>
      <c r="O17" s="251">
        <v>0.75</v>
      </c>
      <c r="P17" s="251">
        <v>0.28299999999999997</v>
      </c>
      <c r="Q17" s="257">
        <v>1</v>
      </c>
      <c r="R17" s="253">
        <f>((PI()*P17*O17/4)*(M17^2-N17^2))*Q17</f>
        <v>3.1721893987966054</v>
      </c>
      <c r="S17" s="254">
        <f>(((R17/386.4)*(M17^2+N17^2))/8)</f>
        <v>2.934886424253921E-2</v>
      </c>
      <c r="T17" s="255" t="e">
        <f ca="1">Ratio</f>
        <v>#N/A</v>
      </c>
      <c r="U17" s="256" t="e">
        <f ca="1">(S17/(T17^2))</f>
        <v>#N/A</v>
      </c>
      <c r="W17" s="250" t="s">
        <v>591</v>
      </c>
      <c r="X17" s="251">
        <v>4.88</v>
      </c>
      <c r="Y17" s="251">
        <v>2.1875</v>
      </c>
      <c r="Z17" s="251">
        <v>0.75</v>
      </c>
      <c r="AA17" s="251">
        <v>0.28299999999999997</v>
      </c>
      <c r="AB17" s="257">
        <v>1</v>
      </c>
      <c r="AC17" s="253">
        <f>((PI()*Z17*AA17/4)*(X17^2-Y17^2))*AB17</f>
        <v>3.1721893987966054</v>
      </c>
      <c r="AD17" s="254">
        <f>(((AC17/386.4)*(X17^2+Y17^2))/8)</f>
        <v>2.934886424253921E-2</v>
      </c>
      <c r="AE17" s="255" t="e">
        <f ca="1">Ratio</f>
        <v>#N/A</v>
      </c>
      <c r="AF17" s="256" t="e">
        <f ca="1">(AD17/(AE17^2))</f>
        <v>#N/A</v>
      </c>
      <c r="AH17" s="250" t="s">
        <v>592</v>
      </c>
      <c r="AI17" s="251">
        <v>4.88</v>
      </c>
      <c r="AJ17" s="251">
        <v>2.1875</v>
      </c>
      <c r="AK17" s="251">
        <v>0.75</v>
      </c>
      <c r="AL17" s="251">
        <v>0.28299999999999997</v>
      </c>
      <c r="AM17" s="257">
        <v>1</v>
      </c>
      <c r="AN17" s="253">
        <f>((PI()*AK17*AL17/4)*(AI17^2-AJ17^2))*AM17</f>
        <v>3.1721893987966054</v>
      </c>
      <c r="AO17" s="254">
        <f>(((AN17/386.4)*(AI17^2+AJ17^2))/8)</f>
        <v>2.934886424253921E-2</v>
      </c>
      <c r="AP17" s="255" t="e">
        <f ca="1">Ratio</f>
        <v>#N/A</v>
      </c>
      <c r="AQ17" s="256" t="e">
        <f ca="1">(AO17/(AP17^2))</f>
        <v>#N/A</v>
      </c>
      <c r="AS17" s="250"/>
      <c r="AT17" s="251"/>
      <c r="AU17" s="251"/>
      <c r="AV17" s="251"/>
      <c r="AW17" s="251"/>
      <c r="AX17" s="245"/>
      <c r="AY17" s="253"/>
      <c r="AZ17" s="254"/>
      <c r="BA17" s="251"/>
      <c r="BB17" s="256"/>
      <c r="BD17" s="250"/>
      <c r="BE17" s="251"/>
      <c r="BF17" s="251"/>
      <c r="BG17" s="251"/>
      <c r="BH17" s="251"/>
      <c r="BI17" s="245"/>
      <c r="BJ17" s="253"/>
      <c r="BK17" s="254"/>
      <c r="BL17" s="251"/>
      <c r="BM17" s="245"/>
      <c r="BO17" s="250"/>
      <c r="BP17" s="251"/>
      <c r="BQ17" s="251"/>
      <c r="BR17" s="251"/>
      <c r="BS17" s="251"/>
      <c r="BT17" s="245"/>
      <c r="BU17" s="253"/>
      <c r="BV17" s="254"/>
      <c r="BW17" s="245"/>
      <c r="BX17" s="245"/>
      <c r="BZ17" s="250"/>
      <c r="CA17" s="251"/>
      <c r="CB17" s="251"/>
      <c r="CC17" s="251"/>
      <c r="CD17" s="251"/>
      <c r="CE17" s="245"/>
      <c r="CF17" s="253"/>
      <c r="CG17" s="254"/>
      <c r="CH17" s="245"/>
      <c r="CI17" s="245"/>
      <c r="CK17" s="250"/>
      <c r="CL17" s="251"/>
      <c r="CM17" s="251"/>
      <c r="CN17" s="251"/>
      <c r="CO17" s="251"/>
      <c r="CP17" s="245"/>
      <c r="CQ17" s="253"/>
      <c r="CR17" s="254"/>
      <c r="CS17" s="255"/>
      <c r="CT17" s="256"/>
      <c r="CV17" s="250" t="s">
        <v>587</v>
      </c>
      <c r="CW17" s="251">
        <v>11.154</v>
      </c>
      <c r="CX17" s="251">
        <v>7.9</v>
      </c>
      <c r="CY17" s="251">
        <v>1.22</v>
      </c>
      <c r="CZ17" s="251">
        <v>0.28299999999999997</v>
      </c>
      <c r="DA17" s="257">
        <v>1</v>
      </c>
      <c r="DB17" s="253">
        <f>((PI()*CY17*CZ17/4)*(CW17^2-CX17^2))*DA17</f>
        <v>16.812792655299322</v>
      </c>
      <c r="DC17" s="254">
        <f>(((DB17/386.4)*(CW17^2+CX17^2))/8)</f>
        <v>1.0161085580406366</v>
      </c>
      <c r="DD17" s="255" t="e">
        <f ca="1">Ratio</f>
        <v>#N/A</v>
      </c>
      <c r="DE17" s="256" t="e">
        <f ca="1">(DC17/(DD17^2))</f>
        <v>#N/A</v>
      </c>
      <c r="DG17" s="250" t="s">
        <v>587</v>
      </c>
      <c r="DH17" s="339">
        <v>11.154</v>
      </c>
      <c r="DI17" s="339">
        <v>7.9</v>
      </c>
      <c r="DJ17" s="339">
        <v>1.22</v>
      </c>
      <c r="DK17" s="254">
        <v>0.28299999999999997</v>
      </c>
      <c r="DL17" s="257">
        <v>1</v>
      </c>
      <c r="DM17" s="340">
        <f>((PI()*DJ17*DK17/4)*(DH17^2-DI17^2))*DL17</f>
        <v>16.812792655299322</v>
      </c>
      <c r="DN17" s="254">
        <f>(((DM17/386.4)*(DH17^2+DI17^2))/8)</f>
        <v>1.0161085580406366</v>
      </c>
      <c r="DO17" s="255" t="e">
        <f ca="1">Ratio</f>
        <v>#N/A</v>
      </c>
      <c r="DP17" s="256" t="e">
        <f ca="1">(DN17/(DO17^2))</f>
        <v>#N/A</v>
      </c>
      <c r="DR17" s="250" t="s">
        <v>664</v>
      </c>
      <c r="DS17" s="255">
        <v>4.83</v>
      </c>
      <c r="DT17" s="339">
        <v>2</v>
      </c>
      <c r="DU17" s="339">
        <v>2</v>
      </c>
      <c r="DV17" s="251">
        <v>0.28299999999999997</v>
      </c>
      <c r="DW17" s="252">
        <v>2</v>
      </c>
      <c r="DX17" s="340">
        <f>((PI()*DU17*DV17/4)*(DS17^2-DT17^2))*DW17</f>
        <v>17.184759058478004</v>
      </c>
      <c r="DY17" s="254">
        <f>(((DX17/386.4)*(DS17^2+DT17^2))/8)</f>
        <v>0.15192823558269913</v>
      </c>
      <c r="DZ17" s="341" t="e">
        <f ca="1">Ratio</f>
        <v>#N/A</v>
      </c>
      <c r="EA17" s="256" t="e">
        <f ca="1">(DY17/(DZ17^2))</f>
        <v>#N/A</v>
      </c>
      <c r="EC17" s="250" t="s">
        <v>593</v>
      </c>
      <c r="ED17" s="255">
        <v>3.25</v>
      </c>
      <c r="EE17" s="339">
        <v>2</v>
      </c>
      <c r="EF17" s="339">
        <v>2</v>
      </c>
      <c r="EG17" s="251">
        <v>0.28299999999999997</v>
      </c>
      <c r="EH17" s="252">
        <v>2</v>
      </c>
      <c r="EI17" s="340">
        <f>((PI()*EF17*EG17/4)*(ED17^2-EE17^2))*EH17</f>
        <v>5.8345266063387928</v>
      </c>
      <c r="EJ17" s="254">
        <f>(((EI17/386.4)*(ED17^2+EE17^2))/8)</f>
        <v>2.748618455771502E-2</v>
      </c>
      <c r="EK17" s="341" t="e">
        <f ca="1">Ratio</f>
        <v>#N/A</v>
      </c>
      <c r="EL17" s="256" t="e">
        <f ca="1">(EJ17/(EK17^2))</f>
        <v>#N/A</v>
      </c>
      <c r="EN17" s="250" t="s">
        <v>593</v>
      </c>
      <c r="EO17" s="255">
        <v>3.25</v>
      </c>
      <c r="EP17" s="339">
        <v>2</v>
      </c>
      <c r="EQ17" s="339">
        <v>2</v>
      </c>
      <c r="ER17" s="251">
        <v>0.28299999999999997</v>
      </c>
      <c r="ES17" s="252">
        <v>2</v>
      </c>
      <c r="ET17" s="340">
        <f>((PI()*EQ17*ER17/4)*(EO17^2-EP17^2))*ES17</f>
        <v>5.8345266063387928</v>
      </c>
      <c r="EU17" s="254">
        <f>(((ET17/386.4)*(EO17^2+EP17^2))/8)</f>
        <v>2.748618455771502E-2</v>
      </c>
      <c r="EV17" s="341" t="e">
        <f ca="1">Ratio</f>
        <v>#N/A</v>
      </c>
      <c r="EW17" s="256" t="e">
        <f ca="1">(EU17/(EV17^2))</f>
        <v>#N/A</v>
      </c>
      <c r="EY17" s="250" t="s">
        <v>593</v>
      </c>
      <c r="EZ17" s="339">
        <v>3.125</v>
      </c>
      <c r="FA17" s="339">
        <v>2</v>
      </c>
      <c r="FB17" s="339">
        <v>1.75</v>
      </c>
      <c r="FC17" s="251">
        <v>0.28299999999999997</v>
      </c>
      <c r="FD17" s="252">
        <v>2</v>
      </c>
      <c r="FE17" s="340">
        <f t="shared" si="0"/>
        <v>4.4852923286229469</v>
      </c>
      <c r="FF17" s="254">
        <f t="shared" si="1"/>
        <v>1.9973748774327206E-2</v>
      </c>
      <c r="FG17" s="341" t="e">
        <f ca="1">(EZ13/EZ14)*Ratio</f>
        <v>#N/A</v>
      </c>
      <c r="FH17" s="256" t="e">
        <f t="shared" ca="1" si="2"/>
        <v>#N/A</v>
      </c>
      <c r="FJ17" s="250" t="s">
        <v>593</v>
      </c>
      <c r="FK17" s="339">
        <v>3.125</v>
      </c>
      <c r="FL17" s="339">
        <v>2</v>
      </c>
      <c r="FM17" s="339">
        <v>1.75</v>
      </c>
      <c r="FN17" s="251">
        <v>0.28299999999999997</v>
      </c>
      <c r="FO17" s="252">
        <v>2</v>
      </c>
      <c r="FP17" s="340">
        <f t="shared" si="3"/>
        <v>4.4852923286229469</v>
      </c>
      <c r="FQ17" s="254">
        <f t="shared" si="4"/>
        <v>1.9973748774327206E-2</v>
      </c>
      <c r="FR17" s="341" t="e">
        <f ca="1">(FK13/FK14)*Ratio</f>
        <v>#N/A</v>
      </c>
      <c r="FS17" s="256" t="e">
        <f t="shared" ca="1" si="5"/>
        <v>#N/A</v>
      </c>
      <c r="FV17" s="2"/>
      <c r="FW17" s="2"/>
      <c r="FX17" s="2"/>
      <c r="GC17" s="341"/>
    </row>
    <row r="18" spans="1:186" ht="15.75" x14ac:dyDescent="0.25">
      <c r="A18" s="250"/>
      <c r="B18" s="251"/>
      <c r="C18" s="251"/>
      <c r="D18" s="251"/>
      <c r="E18" s="251"/>
      <c r="F18" s="245"/>
      <c r="G18" s="253"/>
      <c r="H18" s="254"/>
      <c r="I18" s="255"/>
      <c r="J18" s="256"/>
      <c r="L18" s="250"/>
      <c r="M18" s="251"/>
      <c r="N18" s="251"/>
      <c r="O18" s="251"/>
      <c r="P18" s="251"/>
      <c r="Q18" s="245"/>
      <c r="R18" s="253"/>
      <c r="S18" s="254"/>
      <c r="T18" s="255"/>
      <c r="U18" s="256"/>
      <c r="W18" s="250"/>
      <c r="X18" s="251"/>
      <c r="Y18" s="251"/>
      <c r="Z18" s="251"/>
      <c r="AA18" s="251"/>
      <c r="AB18" s="245"/>
      <c r="AC18" s="253"/>
      <c r="AD18" s="254"/>
      <c r="AE18" s="255"/>
      <c r="AF18" s="256"/>
      <c r="AH18" s="250"/>
      <c r="AI18" s="251"/>
      <c r="AJ18" s="251"/>
      <c r="AK18" s="251"/>
      <c r="AL18" s="251"/>
      <c r="AM18" s="245"/>
      <c r="AN18" s="253"/>
      <c r="AO18" s="254"/>
      <c r="AP18" s="245"/>
      <c r="AQ18" s="245"/>
      <c r="AS18" s="250" t="s">
        <v>587</v>
      </c>
      <c r="AT18" s="251">
        <v>8.9629999999999992</v>
      </c>
      <c r="AU18" s="251">
        <v>7.9</v>
      </c>
      <c r="AV18" s="251">
        <v>1.22</v>
      </c>
      <c r="AW18" s="251">
        <v>0.28299999999999997</v>
      </c>
      <c r="AX18" s="257">
        <v>1</v>
      </c>
      <c r="AY18" s="253">
        <f>((PI()*AV18*AW18/4)*(AT18^2-AU18^2))*AX18</f>
        <v>4.8607608258250448</v>
      </c>
      <c r="AZ18" s="254">
        <f>(((AY18/386.4)*(AT18^2+AU18^2))/8)</f>
        <v>0.22446011183460815</v>
      </c>
      <c r="BA18" s="251" t="e">
        <f ca="1">Ratio</f>
        <v>#N/A</v>
      </c>
      <c r="BB18" s="256" t="e">
        <f ca="1">(AZ18/(BA18^2))</f>
        <v>#N/A</v>
      </c>
      <c r="BD18" s="250" t="s">
        <v>587</v>
      </c>
      <c r="BE18" s="251">
        <v>8.9629999999999992</v>
      </c>
      <c r="BF18" s="251">
        <v>7.9</v>
      </c>
      <c r="BG18" s="251">
        <v>1.22</v>
      </c>
      <c r="BH18" s="251">
        <v>0.28299999999999997</v>
      </c>
      <c r="BI18" s="257">
        <v>1</v>
      </c>
      <c r="BJ18" s="253">
        <f>((PI()*BG18*BH18/4)*(BE18^2-BF18^2))*BI18</f>
        <v>4.8607608258250448</v>
      </c>
      <c r="BK18" s="254">
        <f>(((BJ18/386.4)*(BE18^2+BF18^2))/8)</f>
        <v>0.22446011183460815</v>
      </c>
      <c r="BL18" s="251" t="e">
        <f ca="1">Ratio</f>
        <v>#N/A</v>
      </c>
      <c r="BM18" s="256" t="e">
        <f ca="1">(BK18/(BL18^2))</f>
        <v>#N/A</v>
      </c>
      <c r="BO18" s="250" t="s">
        <v>587</v>
      </c>
      <c r="BP18" s="251">
        <v>11.154</v>
      </c>
      <c r="BQ18" s="251">
        <v>7.9</v>
      </c>
      <c r="BR18" s="251">
        <v>1.22</v>
      </c>
      <c r="BS18" s="251">
        <v>0.28299999999999997</v>
      </c>
      <c r="BT18" s="257">
        <v>1</v>
      </c>
      <c r="BU18" s="253">
        <f>((PI()*BR18*BS18/4)*(BP18^2-BQ18^2))*BT18</f>
        <v>16.812792655299322</v>
      </c>
      <c r="BV18" s="254">
        <f>(((BU18/386.4)*(BP18^2+BQ18^2))/8)</f>
        <v>1.0161085580406366</v>
      </c>
      <c r="BW18" s="255" t="e">
        <f ca="1">Ratio</f>
        <v>#N/A</v>
      </c>
      <c r="BX18" s="256" t="e">
        <f ca="1">(BV18/(BW18^2))</f>
        <v>#N/A</v>
      </c>
      <c r="BZ18" s="250" t="s">
        <v>587</v>
      </c>
      <c r="CA18" s="251">
        <v>8.9629999999999992</v>
      </c>
      <c r="CB18" s="251">
        <v>7.9</v>
      </c>
      <c r="CC18" s="251">
        <v>1.22</v>
      </c>
      <c r="CD18" s="251">
        <v>0.28299999999999997</v>
      </c>
      <c r="CE18" s="257">
        <v>1</v>
      </c>
      <c r="CF18" s="253">
        <f>((PI()*CC18*CD18/4)*(CA18^2-CB18^2))*CE18</f>
        <v>4.8607608258250448</v>
      </c>
      <c r="CG18" s="254">
        <f>(((CF18/386.4)*(CA18^2+CB18^2))/8)</f>
        <v>0.22446011183460815</v>
      </c>
      <c r="CH18" s="255" t="e">
        <f ca="1">Ratio</f>
        <v>#N/A</v>
      </c>
      <c r="CI18" s="256" t="e">
        <f ca="1">(CG18/(CH18^2))</f>
        <v>#N/A</v>
      </c>
      <c r="CK18" s="250" t="s">
        <v>587</v>
      </c>
      <c r="CL18" s="251">
        <v>8.9629999999999992</v>
      </c>
      <c r="CM18" s="251">
        <v>7.9</v>
      </c>
      <c r="CN18" s="251">
        <v>1.22</v>
      </c>
      <c r="CO18" s="251">
        <v>0.28299999999999997</v>
      </c>
      <c r="CP18" s="257">
        <v>1</v>
      </c>
      <c r="CQ18" s="253">
        <f>((PI()*CN18*CO18/4)*(CL18^2-CM18^2))*CP18</f>
        <v>4.8607608258250448</v>
      </c>
      <c r="CR18" s="254">
        <f>(((CQ18/386.4)*(CL18^2+CM18^2))/8)</f>
        <v>0.22446011183460815</v>
      </c>
      <c r="CS18" s="255" t="e">
        <f ca="1">Ratio</f>
        <v>#N/A</v>
      </c>
      <c r="CT18" s="256" t="e">
        <f ca="1">(CR18/(CS18^2))</f>
        <v>#N/A</v>
      </c>
      <c r="CV18" s="250" t="s">
        <v>599</v>
      </c>
      <c r="CW18" s="251">
        <v>7.9</v>
      </c>
      <c r="CX18" s="251">
        <v>2.1875</v>
      </c>
      <c r="CY18" s="251">
        <v>0.87</v>
      </c>
      <c r="CZ18" s="251">
        <v>0.28299999999999997</v>
      </c>
      <c r="DA18" s="257">
        <v>1</v>
      </c>
      <c r="DB18" s="253">
        <f>((PI()*CY18*CZ18/4)*(CW18^2-CX18^2))*DA18</f>
        <v>11.143082099793407</v>
      </c>
      <c r="DC18" s="254">
        <f>(((DB18/386.4)*(CW18^2+CX18^2))/8)</f>
        <v>0.24222345458145575</v>
      </c>
      <c r="DD18" s="255" t="e">
        <f ca="1">Ratio</f>
        <v>#N/A</v>
      </c>
      <c r="DE18" s="256" t="e">
        <f ca="1">(DC18/(DD18^2))</f>
        <v>#N/A</v>
      </c>
      <c r="DG18" s="250" t="s">
        <v>599</v>
      </c>
      <c r="DH18" s="339">
        <v>7.9</v>
      </c>
      <c r="DI18" s="339">
        <v>2.1875</v>
      </c>
      <c r="DJ18" s="339">
        <v>0.87</v>
      </c>
      <c r="DK18" s="254">
        <v>0.28299999999999997</v>
      </c>
      <c r="DL18" s="257">
        <v>1</v>
      </c>
      <c r="DM18" s="340">
        <f>((PI()*DJ18*DK18/4)*(DH18^2-DI18^2))*DL18</f>
        <v>11.143082099793407</v>
      </c>
      <c r="DN18" s="254">
        <f>(((DM18/386.4)*(DH18^2+DI18^2))/8)</f>
        <v>0.24222345458145575</v>
      </c>
      <c r="DO18" s="255" t="e">
        <f ca="1">Ratio</f>
        <v>#N/A</v>
      </c>
      <c r="DP18" s="256" t="e">
        <f ca="1">(DN18/(DO18^2))</f>
        <v>#N/A</v>
      </c>
      <c r="DR18" s="250" t="s">
        <v>593</v>
      </c>
      <c r="DS18" s="255">
        <v>3</v>
      </c>
      <c r="DT18" s="339">
        <v>2</v>
      </c>
      <c r="DU18" s="339">
        <v>1.5</v>
      </c>
      <c r="DV18" s="251">
        <v>0.28299999999999997</v>
      </c>
      <c r="DW18" s="252">
        <v>2</v>
      </c>
      <c r="DX18" s="340">
        <f>((PI()*DU18*DV18/4)*(DS18^2-DT18^2))*DW18</f>
        <v>3.3340152036221675</v>
      </c>
      <c r="DY18" s="254">
        <f>(((DX18/386.4)*(DS18^2+DT18^2))/8)</f>
        <v>1.4021156071133597E-2</v>
      </c>
      <c r="DZ18" s="341" t="e">
        <f ca="1">Ratio</f>
        <v>#N/A</v>
      </c>
      <c r="EA18" s="256" t="e">
        <f ca="1">(DY18/(DZ18^2))</f>
        <v>#N/A</v>
      </c>
      <c r="EC18" s="250"/>
      <c r="ED18" s="255"/>
      <c r="EE18" s="339"/>
      <c r="EF18" s="339"/>
      <c r="EG18" s="251"/>
      <c r="EH18" s="252"/>
      <c r="EI18" s="340"/>
      <c r="EJ18" s="254"/>
      <c r="EK18" s="341"/>
      <c r="EL18" s="256"/>
      <c r="EN18" s="250"/>
      <c r="EO18" s="255"/>
      <c r="EP18" s="339"/>
      <c r="EQ18" s="339"/>
      <c r="ER18" s="251"/>
      <c r="ES18" s="252"/>
      <c r="ET18" s="340"/>
      <c r="EU18" s="254"/>
      <c r="EV18" s="341"/>
      <c r="EW18" s="256"/>
      <c r="EY18" s="250"/>
      <c r="EZ18" s="339"/>
      <c r="FA18" s="339"/>
      <c r="FB18" s="339"/>
      <c r="FC18" s="251"/>
      <c r="FD18" s="252"/>
      <c r="FE18" s="340"/>
      <c r="FF18" s="254"/>
      <c r="FG18" s="341"/>
      <c r="FH18" s="256"/>
      <c r="FJ18" s="250"/>
      <c r="FK18" s="339"/>
      <c r="FL18" s="339"/>
      <c r="FM18" s="339"/>
      <c r="FN18" s="251"/>
      <c r="FO18" s="252"/>
      <c r="FP18" s="340"/>
      <c r="FQ18" s="254"/>
      <c r="FR18" s="341"/>
      <c r="FS18" s="256"/>
      <c r="FU18" s="250" t="s">
        <v>596</v>
      </c>
      <c r="FV18" s="378">
        <v>6.33</v>
      </c>
      <c r="FW18" s="378">
        <v>1.75</v>
      </c>
      <c r="FX18" s="379">
        <v>2</v>
      </c>
      <c r="FY18" s="251">
        <v>0.28299999999999997</v>
      </c>
      <c r="FZ18" s="252">
        <v>2</v>
      </c>
      <c r="GA18" s="340">
        <f>((PI()*FX18*FY18/4)*(FV18^2-FW18^2))*FZ18</f>
        <v>32.9013067283529</v>
      </c>
      <c r="GB18" s="254">
        <f>(((GA18/386.4)*(FV18^2+FW18^2))/8)</f>
        <v>0.45907072367471541</v>
      </c>
      <c r="GC18" s="341" t="e">
        <f ca="1">Ratio</f>
        <v>#N/A</v>
      </c>
      <c r="GD18" s="256" t="e">
        <f ca="1">(GB18/(GC18^2))</f>
        <v>#N/A</v>
      </c>
    </row>
    <row r="19" spans="1:186" ht="15.75" x14ac:dyDescent="0.25">
      <c r="A19" s="250" t="s">
        <v>597</v>
      </c>
      <c r="B19" s="251">
        <v>3.1875</v>
      </c>
      <c r="C19" s="251">
        <v>1</v>
      </c>
      <c r="D19" s="251">
        <v>0.4375</v>
      </c>
      <c r="E19" s="251">
        <v>0.28299999999999997</v>
      </c>
      <c r="F19" s="257">
        <v>1</v>
      </c>
      <c r="G19" s="253">
        <f>((PI()*D19*E19/4)*(B19^2-C19^2))*F19</f>
        <v>0.89075292264742645</v>
      </c>
      <c r="H19" s="254">
        <f>(((G19/386.4)*(B19^2+C19^2))/8)</f>
        <v>3.2158843804637178E-3</v>
      </c>
      <c r="I19" s="255" t="e">
        <f ca="1">Ratio</f>
        <v>#N/A</v>
      </c>
      <c r="J19" s="256" t="e">
        <f ca="1">(H19/(I19^2))</f>
        <v>#N/A</v>
      </c>
      <c r="L19" s="250" t="s">
        <v>597</v>
      </c>
      <c r="M19" s="251">
        <v>3.1875</v>
      </c>
      <c r="N19" s="251">
        <v>1</v>
      </c>
      <c r="O19" s="251">
        <v>0.4375</v>
      </c>
      <c r="P19" s="251">
        <v>0.28299999999999997</v>
      </c>
      <c r="Q19" s="257">
        <v>1</v>
      </c>
      <c r="R19" s="253">
        <f>((PI()*P19*O19/4)*(M19^2-N19^2))*Q19</f>
        <v>0.89075292264742645</v>
      </c>
      <c r="S19" s="254">
        <f>(((R19/386.4)*(M19^2+N19^2))/8)</f>
        <v>3.2158843804637178E-3</v>
      </c>
      <c r="T19" s="255" t="e">
        <f ca="1">Ratio</f>
        <v>#N/A</v>
      </c>
      <c r="U19" s="256" t="e">
        <f ca="1">(S19/(T19^2))</f>
        <v>#N/A</v>
      </c>
      <c r="W19" s="250" t="s">
        <v>597</v>
      </c>
      <c r="X19" s="251">
        <v>3.1875</v>
      </c>
      <c r="Y19" s="251">
        <v>1</v>
      </c>
      <c r="Z19" s="251">
        <v>0.4375</v>
      </c>
      <c r="AA19" s="251">
        <v>0.28299999999999997</v>
      </c>
      <c r="AB19" s="257">
        <v>1</v>
      </c>
      <c r="AC19" s="253">
        <f>((PI()*Z19*AA19/4)*(X19^2-Y19^2))*AB19</f>
        <v>0.89075292264742645</v>
      </c>
      <c r="AD19" s="254">
        <f>(((AC19/386.4)*(X19^2+Y19^2))/8)</f>
        <v>3.2158843804637178E-3</v>
      </c>
      <c r="AE19" s="255" t="e">
        <f ca="1">Ratio</f>
        <v>#N/A</v>
      </c>
      <c r="AF19" s="256" t="e">
        <f ca="1">(AD19/(AE19^2))</f>
        <v>#N/A</v>
      </c>
      <c r="AH19" s="250" t="s">
        <v>597</v>
      </c>
      <c r="AI19" s="251">
        <v>3.1875</v>
      </c>
      <c r="AJ19" s="251">
        <v>1</v>
      </c>
      <c r="AK19" s="251">
        <v>0.4375</v>
      </c>
      <c r="AL19" s="251">
        <v>0.28299999999999997</v>
      </c>
      <c r="AM19" s="257">
        <v>1</v>
      </c>
      <c r="AN19" s="253">
        <f>((PI()*AK19*AL19/4)*(AI19^2-AJ19^2))*AM19</f>
        <v>0.89075292264742645</v>
      </c>
      <c r="AO19" s="254">
        <f>(((AN19/386.4)*(AI19^2+AJ19^2))/8)</f>
        <v>3.2158843804637178E-3</v>
      </c>
      <c r="AP19" s="255" t="e">
        <f ca="1">Ratio</f>
        <v>#N/A</v>
      </c>
      <c r="AQ19" s="256" t="e">
        <f ca="1">(AO19/(AP19^2))</f>
        <v>#N/A</v>
      </c>
      <c r="AS19" s="250" t="s">
        <v>598</v>
      </c>
      <c r="AT19" s="251">
        <v>7.9</v>
      </c>
      <c r="AU19" s="251">
        <v>2.1880000000000002</v>
      </c>
      <c r="AV19" s="251">
        <v>0.87</v>
      </c>
      <c r="AW19" s="251">
        <v>0.28299999999999997</v>
      </c>
      <c r="AX19" s="257">
        <v>1</v>
      </c>
      <c r="AY19" s="253">
        <f>((PI()*AV19*AW19/4)*(AT19^2-AU19^2))*AX19</f>
        <v>11.142659048271227</v>
      </c>
      <c r="AZ19" s="254">
        <f>(((AY19/386.4)*(AT19^2+AU19^2))/8)</f>
        <v>0.2422221445203786</v>
      </c>
      <c r="BA19" s="251" t="e">
        <f ca="1">Ratio</f>
        <v>#N/A</v>
      </c>
      <c r="BB19" s="256" t="e">
        <f ca="1">(AZ19/(BA19^2))</f>
        <v>#N/A</v>
      </c>
      <c r="BD19" s="250" t="s">
        <v>599</v>
      </c>
      <c r="BE19" s="251">
        <v>7.9</v>
      </c>
      <c r="BF19" s="251">
        <v>2.1880000000000002</v>
      </c>
      <c r="BG19" s="251">
        <v>0.87</v>
      </c>
      <c r="BH19" s="251">
        <v>0.28299999999999997</v>
      </c>
      <c r="BI19" s="257">
        <v>1</v>
      </c>
      <c r="BJ19" s="253">
        <f>((PI()*BG19*BH19/4)*(BE19^2-BF19^2))*BI19</f>
        <v>11.142659048271227</v>
      </c>
      <c r="BK19" s="254">
        <f>(((BJ19/386.4)*(BE19^2+BF19^2))/8)</f>
        <v>0.2422221445203786</v>
      </c>
      <c r="BL19" s="251" t="e">
        <f ca="1">Ratio</f>
        <v>#N/A</v>
      </c>
      <c r="BM19" s="256" t="e">
        <f ca="1">(BK19/(BL19^2))</f>
        <v>#N/A</v>
      </c>
      <c r="BO19" s="250" t="s">
        <v>598</v>
      </c>
      <c r="BP19" s="251">
        <v>7.9</v>
      </c>
      <c r="BQ19" s="251">
        <v>2.1880000000000002</v>
      </c>
      <c r="BR19" s="251">
        <v>0.87</v>
      </c>
      <c r="BS19" s="251">
        <v>0.28299999999999997</v>
      </c>
      <c r="BT19" s="257">
        <v>1</v>
      </c>
      <c r="BU19" s="253">
        <f>((PI()*BR19*BS19/4)*(BP19^2-BQ19^2))*BT19</f>
        <v>11.142659048271227</v>
      </c>
      <c r="BV19" s="254">
        <f>(((BU19/386.4)*(BP19^2+BQ19^2))/8)</f>
        <v>0.2422221445203786</v>
      </c>
      <c r="BW19" s="255" t="e">
        <f ca="1">Ratio</f>
        <v>#N/A</v>
      </c>
      <c r="BX19" s="256" t="e">
        <f ca="1">(BV19/(BW19^2))</f>
        <v>#N/A</v>
      </c>
      <c r="BZ19" s="250" t="s">
        <v>599</v>
      </c>
      <c r="CA19" s="251">
        <v>7.9</v>
      </c>
      <c r="CB19" s="251">
        <v>2.1875</v>
      </c>
      <c r="CC19" s="251">
        <v>0.87</v>
      </c>
      <c r="CD19" s="251">
        <v>0.28299999999999997</v>
      </c>
      <c r="CE19" s="257">
        <v>1</v>
      </c>
      <c r="CF19" s="253">
        <f>((PI()*CC19*CD19/4)*(CA19^2-CB19^2))*CE19</f>
        <v>11.143082099793407</v>
      </c>
      <c r="CG19" s="254">
        <f>(((CF19/386.4)*(CA19^2+CB19^2))/8)</f>
        <v>0.24222345458145575</v>
      </c>
      <c r="CH19" s="255" t="e">
        <f ca="1">Ratio</f>
        <v>#N/A</v>
      </c>
      <c r="CI19" s="256" t="e">
        <f ca="1">(CG19/(CH19^2))</f>
        <v>#N/A</v>
      </c>
      <c r="CK19" s="250" t="s">
        <v>598</v>
      </c>
      <c r="CL19" s="251">
        <v>7.9</v>
      </c>
      <c r="CM19" s="251">
        <v>2.1875</v>
      </c>
      <c r="CN19" s="251">
        <v>0.87</v>
      </c>
      <c r="CO19" s="251">
        <v>0.28299999999999997</v>
      </c>
      <c r="CP19" s="257">
        <v>1</v>
      </c>
      <c r="CQ19" s="253">
        <f>((PI()*CN19*CO19/4)*(CL19^2-CM19^2))*CP19</f>
        <v>11.143082099793407</v>
      </c>
      <c r="CR19" s="254">
        <f>(((CQ19/386.4)*(CL19^2+CM19^2))/8)</f>
        <v>0.24222345458145575</v>
      </c>
      <c r="CS19" s="255" t="e">
        <f ca="1">Ratio</f>
        <v>#N/A</v>
      </c>
      <c r="CT19" s="256" t="e">
        <f ca="1">(CR19/(CS19^2))</f>
        <v>#N/A</v>
      </c>
      <c r="CV19" s="250"/>
      <c r="CW19" s="251"/>
      <c r="CX19" s="251"/>
      <c r="CY19" s="251"/>
      <c r="CZ19" s="251"/>
      <c r="DA19" s="257"/>
      <c r="DB19" s="253"/>
      <c r="DC19" s="254"/>
      <c r="DD19" s="255"/>
      <c r="DE19" s="256"/>
      <c r="DG19" s="250"/>
      <c r="DH19" s="339"/>
      <c r="DI19" s="339"/>
      <c r="DJ19" s="339"/>
      <c r="DK19" s="254"/>
      <c r="DL19" s="245"/>
      <c r="DM19" s="340"/>
      <c r="DN19" s="254"/>
      <c r="DO19" s="255"/>
      <c r="DP19" s="256"/>
      <c r="DR19" s="250"/>
      <c r="DS19" s="257"/>
      <c r="DT19" s="339"/>
      <c r="DU19" s="339"/>
      <c r="DV19" s="251"/>
      <c r="DW19" s="252"/>
      <c r="DX19" s="340"/>
      <c r="DY19" s="254"/>
      <c r="DZ19" s="341"/>
      <c r="EA19" s="256"/>
      <c r="EC19" s="250" t="s">
        <v>601</v>
      </c>
      <c r="ED19" s="255">
        <v>5.33</v>
      </c>
      <c r="EE19" s="339">
        <v>1.75</v>
      </c>
      <c r="EF19" s="339">
        <v>2</v>
      </c>
      <c r="EG19" s="251">
        <v>0.28299999999999997</v>
      </c>
      <c r="EH19" s="252">
        <v>2</v>
      </c>
      <c r="EI19" s="340">
        <f>((PI()*EF19*EG19/4)*(ED19^2-EE19^2))*EH19</f>
        <v>22.534742121890375</v>
      </c>
      <c r="EJ19" s="254">
        <f>(((EI19/386.4)*(ED19^2+EE19^2))/8)</f>
        <v>0.22942542805863766</v>
      </c>
      <c r="EK19" s="341" t="e">
        <f ca="1">Ratio</f>
        <v>#N/A</v>
      </c>
      <c r="EL19" s="256" t="e">
        <f ca="1">(EJ19/(EK19^2))</f>
        <v>#N/A</v>
      </c>
      <c r="EN19" s="250" t="s">
        <v>601</v>
      </c>
      <c r="EO19" s="255">
        <v>5.33</v>
      </c>
      <c r="EP19" s="339">
        <v>1.75</v>
      </c>
      <c r="EQ19" s="339">
        <v>2</v>
      </c>
      <c r="ER19" s="251">
        <v>0.28299999999999997</v>
      </c>
      <c r="ES19" s="252">
        <v>2</v>
      </c>
      <c r="ET19" s="340">
        <f>((PI()*EQ19*ER19/4)*(EO19^2-EP19^2))*ES19</f>
        <v>22.534742121890375</v>
      </c>
      <c r="EU19" s="254">
        <f>(((ET19/386.4)*(EO19^2+EP19^2))/8)</f>
        <v>0.22942542805863766</v>
      </c>
      <c r="EV19" s="341" t="e">
        <f ca="1">Ratio</f>
        <v>#N/A</v>
      </c>
      <c r="EW19" s="256" t="e">
        <f ca="1">(EU19/(EV19^2))</f>
        <v>#N/A</v>
      </c>
      <c r="EY19" s="250" t="s">
        <v>603</v>
      </c>
      <c r="EZ19" s="339">
        <v>6.33</v>
      </c>
      <c r="FA19" s="339">
        <v>1.75</v>
      </c>
      <c r="FB19" s="339">
        <v>1.75</v>
      </c>
      <c r="FC19" s="251">
        <v>0.28299999999999997</v>
      </c>
      <c r="FD19" s="252">
        <v>2</v>
      </c>
      <c r="FE19" s="340">
        <f>((PI()*FB19*FC19/4)*(EZ19^2-FA19^2))*FD19</f>
        <v>28.788643387308788</v>
      </c>
      <c r="FF19" s="254">
        <f>(((FE19/386.4)*(EZ19^2+FA19^2))/8)</f>
        <v>0.40168688321537599</v>
      </c>
      <c r="FG19" s="341" t="e">
        <f ca="1">Ratio</f>
        <v>#N/A</v>
      </c>
      <c r="FH19" s="256" t="e">
        <f ca="1">(FF19/(FG19^2))</f>
        <v>#N/A</v>
      </c>
      <c r="FJ19" s="250" t="s">
        <v>603</v>
      </c>
      <c r="FK19" s="339">
        <v>6.33</v>
      </c>
      <c r="FL19" s="339">
        <v>1.75</v>
      </c>
      <c r="FM19" s="339">
        <v>1.75</v>
      </c>
      <c r="FN19" s="251">
        <v>0.28299999999999997</v>
      </c>
      <c r="FO19" s="252">
        <v>2</v>
      </c>
      <c r="FP19" s="340">
        <f>((PI()*FM19*FN19/4)*(FK19^2-FL19^2))*FO19</f>
        <v>28.788643387308788</v>
      </c>
      <c r="FQ19" s="254">
        <f>(((FP19/386.4)*(FK19^2+FL19^2))/8)</f>
        <v>0.40168688321537599</v>
      </c>
      <c r="FR19" s="341" t="e">
        <f ca="1">Ratio</f>
        <v>#N/A</v>
      </c>
      <c r="FS19" s="256" t="e">
        <f ca="1">(FQ19/(FR19^2))</f>
        <v>#N/A</v>
      </c>
      <c r="FU19" s="250" t="s">
        <v>593</v>
      </c>
      <c r="FV19" s="378">
        <v>3.375</v>
      </c>
      <c r="FW19" s="378">
        <v>1.75</v>
      </c>
      <c r="FX19" s="379">
        <v>1.5</v>
      </c>
      <c r="FY19" s="251">
        <v>0.28299999999999997</v>
      </c>
      <c r="FZ19" s="252">
        <v>2</v>
      </c>
      <c r="GA19" s="340">
        <f>((PI()*FX19*FY19/4)*(FV19^2-FW19^2))*FZ19</f>
        <v>5.5532190735331728</v>
      </c>
      <c r="GB19" s="254">
        <f>(((GA19/386.4)*(FV19^2+FW19^2))/8)</f>
        <v>2.5964469921764734E-2</v>
      </c>
      <c r="GC19" s="341" t="e">
        <f ca="1">Ratio</f>
        <v>#N/A</v>
      </c>
      <c r="GD19" s="256" t="e">
        <f ca="1">(GB19/(GC19^2))</f>
        <v>#N/A</v>
      </c>
    </row>
    <row r="20" spans="1:186" ht="15.75" x14ac:dyDescent="0.25">
      <c r="A20" s="250" t="s">
        <v>602</v>
      </c>
      <c r="B20" s="251">
        <v>2.1875</v>
      </c>
      <c r="C20" s="251">
        <v>1</v>
      </c>
      <c r="D20" s="251">
        <v>0.875</v>
      </c>
      <c r="E20" s="251">
        <v>0.28299999999999997</v>
      </c>
      <c r="F20" s="257">
        <v>1</v>
      </c>
      <c r="G20" s="253">
        <f>((PI()*D20*E20/4)*(B20^2-C20^2))*F20</f>
        <v>0.73615316165915246</v>
      </c>
      <c r="H20" s="254">
        <f>(((G20/386.4)*(B20^2+C20^2))/8)</f>
        <v>1.3777047955906142E-3</v>
      </c>
      <c r="I20" s="255" t="e">
        <f ca="1">Ratio</f>
        <v>#N/A</v>
      </c>
      <c r="J20" s="256" t="e">
        <f ca="1">(H20/(I20^2))</f>
        <v>#N/A</v>
      </c>
      <c r="L20" s="250" t="s">
        <v>602</v>
      </c>
      <c r="M20" s="251">
        <v>2.1875</v>
      </c>
      <c r="N20" s="251">
        <v>1</v>
      </c>
      <c r="O20" s="251">
        <v>0.875</v>
      </c>
      <c r="P20" s="251">
        <v>0.28299999999999997</v>
      </c>
      <c r="Q20" s="257">
        <v>1</v>
      </c>
      <c r="R20" s="253">
        <f>((PI()*P20*O20/4)*(M20^2-N20^2))*Q20</f>
        <v>0.73615316165915246</v>
      </c>
      <c r="S20" s="254">
        <f>(((R20/386.4)*(M20^2+N20^2))/8)</f>
        <v>1.3777047955906142E-3</v>
      </c>
      <c r="T20" s="255" t="e">
        <f ca="1">Ratio</f>
        <v>#N/A</v>
      </c>
      <c r="U20" s="256" t="e">
        <f ca="1">(S20/(T20^2))</f>
        <v>#N/A</v>
      </c>
      <c r="W20" s="250" t="s">
        <v>602</v>
      </c>
      <c r="X20" s="251">
        <v>2.1875</v>
      </c>
      <c r="Y20" s="251">
        <v>1</v>
      </c>
      <c r="Z20" s="251">
        <v>0.875</v>
      </c>
      <c r="AA20" s="251">
        <v>0.28299999999999997</v>
      </c>
      <c r="AB20" s="257">
        <v>1</v>
      </c>
      <c r="AC20" s="253">
        <f>((PI()*Z20*AA20/4)*(X20^2-Y20^2))*AB20</f>
        <v>0.73615316165915246</v>
      </c>
      <c r="AD20" s="254">
        <f>(((AC20/386.4)*(X20^2+Y20^2))/8)</f>
        <v>1.3777047955906142E-3</v>
      </c>
      <c r="AE20" s="255" t="e">
        <f ca="1">Ratio</f>
        <v>#N/A</v>
      </c>
      <c r="AF20" s="256" t="e">
        <f ca="1">(AD20/(AE20^2))</f>
        <v>#N/A</v>
      </c>
      <c r="AH20" s="250" t="s">
        <v>602</v>
      </c>
      <c r="AI20" s="251">
        <v>2.1875</v>
      </c>
      <c r="AJ20" s="251">
        <v>1</v>
      </c>
      <c r="AK20" s="251">
        <v>0.875</v>
      </c>
      <c r="AL20" s="251">
        <v>0.28299999999999997</v>
      </c>
      <c r="AM20" s="257">
        <v>1</v>
      </c>
      <c r="AN20" s="253">
        <f>((PI()*AK20*AL20/4)*(AI20^2-AJ20^2))*AM20</f>
        <v>0.73615316165915246</v>
      </c>
      <c r="AO20" s="254">
        <f>(((AN20/386.4)*(AI20^2+AJ20^2))/8)</f>
        <v>1.3777047955906142E-3</v>
      </c>
      <c r="AP20" s="255" t="e">
        <f ca="1">Ratio</f>
        <v>#N/A</v>
      </c>
      <c r="AQ20" s="256" t="e">
        <f ca="1">(AO20/(AP20^2))</f>
        <v>#N/A</v>
      </c>
      <c r="AS20" s="250"/>
      <c r="AT20" s="251"/>
      <c r="AU20" s="251"/>
      <c r="AV20" s="251"/>
      <c r="AW20" s="251"/>
      <c r="AX20" s="245"/>
      <c r="AY20" s="253"/>
      <c r="AZ20" s="254"/>
      <c r="BA20" s="251"/>
      <c r="BB20" s="256"/>
      <c r="BD20" s="250"/>
      <c r="BE20" s="251"/>
      <c r="BF20" s="251"/>
      <c r="BG20" s="251"/>
      <c r="BH20" s="251"/>
      <c r="BI20" s="245"/>
      <c r="BJ20" s="253"/>
      <c r="BK20" s="254"/>
      <c r="BL20" s="251"/>
      <c r="BM20" s="245"/>
      <c r="BO20" s="250"/>
      <c r="BP20" s="251"/>
      <c r="BQ20" s="251"/>
      <c r="BR20" s="251"/>
      <c r="BS20" s="251"/>
      <c r="BT20" s="257"/>
      <c r="BU20" s="344"/>
      <c r="BV20" s="254"/>
      <c r="BW20" s="255"/>
      <c r="BX20" s="256"/>
      <c r="BZ20" s="250"/>
      <c r="CA20" s="251"/>
      <c r="CB20" s="251"/>
      <c r="CC20" s="251"/>
      <c r="CD20" s="251"/>
      <c r="CE20" s="257"/>
      <c r="CF20" s="344"/>
      <c r="CG20" s="254"/>
      <c r="CH20" s="255"/>
      <c r="CI20" s="256"/>
      <c r="CK20" s="250"/>
      <c r="CL20" s="251"/>
      <c r="CM20" s="251"/>
      <c r="CN20" s="251"/>
      <c r="CO20" s="251"/>
      <c r="CP20" s="245"/>
      <c r="CQ20" s="253"/>
      <c r="CR20" s="254"/>
      <c r="CS20" s="245"/>
      <c r="CT20" s="245"/>
      <c r="CV20" s="250" t="s">
        <v>597</v>
      </c>
      <c r="CW20" s="251">
        <v>3.1875</v>
      </c>
      <c r="CX20" s="251">
        <v>1.875</v>
      </c>
      <c r="CY20" s="251">
        <v>0.4375</v>
      </c>
      <c r="CZ20" s="251">
        <v>0.28299999999999997</v>
      </c>
      <c r="DA20" s="257">
        <v>1</v>
      </c>
      <c r="DB20" s="253">
        <f>((PI()*CY20*CZ20/4)*(CW20^2-CX20^2))*DA20</f>
        <v>0.64612823941290931</v>
      </c>
      <c r="DC20" s="254">
        <f>(((DB20/386.4)*(CW20^2+CX20^2))/8)</f>
        <v>2.8585366400293013E-3</v>
      </c>
      <c r="DD20" s="255" t="e">
        <f ca="1">Ratio</f>
        <v>#N/A</v>
      </c>
      <c r="DE20" s="256" t="e">
        <f ca="1">(DC20/(DD20^2))</f>
        <v>#N/A</v>
      </c>
      <c r="DG20" s="250" t="s">
        <v>597</v>
      </c>
      <c r="DH20" s="339">
        <v>3.1875</v>
      </c>
      <c r="DI20" s="339">
        <v>1.875</v>
      </c>
      <c r="DJ20" s="339">
        <v>0.4375</v>
      </c>
      <c r="DK20" s="254">
        <v>0.28299999999999997</v>
      </c>
      <c r="DL20" s="257">
        <v>1</v>
      </c>
      <c r="DM20" s="340">
        <f>((PI()*DJ20*DK20/4)*(DH20^2-DI20^2))*DL20</f>
        <v>0.64612823941290931</v>
      </c>
      <c r="DN20" s="254">
        <f>(((DM20/386.4)*(DH20^2+DI20^2))/8)</f>
        <v>2.8585366400293013E-3</v>
      </c>
      <c r="DO20" s="255" t="e">
        <f ca="1">Ratio</f>
        <v>#N/A</v>
      </c>
      <c r="DP20" s="256" t="e">
        <f ca="1">(DN20/(DO20^2))</f>
        <v>#N/A</v>
      </c>
      <c r="DR20" s="250" t="s">
        <v>587</v>
      </c>
      <c r="DS20" s="251">
        <v>14.382999999999999</v>
      </c>
      <c r="DT20" s="251">
        <v>13.2</v>
      </c>
      <c r="DU20" s="251">
        <v>2.38</v>
      </c>
      <c r="DV20" s="251">
        <v>0.28299999999999997</v>
      </c>
      <c r="DW20" s="252">
        <v>1</v>
      </c>
      <c r="DX20" s="340">
        <f>((PI()*DU20*DV20/4)*(DS20^2-DT20^2))*DW20</f>
        <v>17.261539165932433</v>
      </c>
      <c r="DY20" s="254">
        <f>(((DX20/386.4)*(DS20^2+DT20^2))/8)</f>
        <v>2.1281564068093277</v>
      </c>
      <c r="DZ20" s="341" t="e">
        <f ca="1">Ratio</f>
        <v>#N/A</v>
      </c>
      <c r="EA20" s="256" t="e">
        <f ca="1">(DY20/(DZ20^2))</f>
        <v>#N/A</v>
      </c>
      <c r="EC20" s="250" t="s">
        <v>593</v>
      </c>
      <c r="ED20" s="255">
        <v>3.125</v>
      </c>
      <c r="EE20" s="339">
        <v>1.75</v>
      </c>
      <c r="EF20" s="339">
        <v>2</v>
      </c>
      <c r="EG20" s="251">
        <v>0.28299999999999997</v>
      </c>
      <c r="EH20" s="252">
        <v>2</v>
      </c>
      <c r="EI20" s="340">
        <f>((PI()*EF20*EG20/4)*(ED20^2-EE20^2))*EH20</f>
        <v>5.9595521764746247</v>
      </c>
      <c r="EJ20" s="254">
        <f>(((EI20/386.4)*(ED20^2+EE20^2))/8)</f>
        <v>2.4731457124688973E-2</v>
      </c>
      <c r="EK20" s="341" t="e">
        <f ca="1">Ratio</f>
        <v>#N/A</v>
      </c>
      <c r="EL20" s="256" t="e">
        <f ca="1">(EJ20/(EK20^2))</f>
        <v>#N/A</v>
      </c>
      <c r="EN20" s="250" t="s">
        <v>593</v>
      </c>
      <c r="EO20" s="255">
        <v>3.125</v>
      </c>
      <c r="EP20" s="339">
        <v>1.75</v>
      </c>
      <c r="EQ20" s="339">
        <v>2</v>
      </c>
      <c r="ER20" s="251">
        <v>0.28299999999999997</v>
      </c>
      <c r="ES20" s="252">
        <v>2</v>
      </c>
      <c r="ET20" s="340">
        <f>((PI()*EQ20*ER20/4)*(EO20^2-EP20^2))*ES20</f>
        <v>5.9595521764746247</v>
      </c>
      <c r="EU20" s="254">
        <f>(((ET20/386.4)*(EO20^2+EP20^2))/8)</f>
        <v>2.4731457124688973E-2</v>
      </c>
      <c r="EV20" s="341" t="e">
        <f ca="1">Ratio</f>
        <v>#N/A</v>
      </c>
      <c r="EW20" s="256" t="e">
        <f ca="1">(EU20/(EV20^2))</f>
        <v>#N/A</v>
      </c>
      <c r="EY20" s="250" t="s">
        <v>593</v>
      </c>
      <c r="EZ20" s="339">
        <v>3.38</v>
      </c>
      <c r="FA20" s="339">
        <v>1.75</v>
      </c>
      <c r="FB20" s="339">
        <v>1.75</v>
      </c>
      <c r="FC20" s="251">
        <v>0.28299999999999997</v>
      </c>
      <c r="FD20" s="252">
        <v>2</v>
      </c>
      <c r="FE20" s="340">
        <f>((PI()*FB20*FC20/4)*(EZ20^2-FA20^2))*FD20</f>
        <v>6.5050304039392461</v>
      </c>
      <c r="FF20" s="254">
        <f>(((FE20/386.4)*(EZ20^2+FA20^2))/8)</f>
        <v>3.0485806469599981E-2</v>
      </c>
      <c r="FG20" s="341" t="e">
        <f ca="1">Ratio</f>
        <v>#N/A</v>
      </c>
      <c r="FH20" s="256" t="e">
        <f ca="1">(FF20/(FG20^2))</f>
        <v>#N/A</v>
      </c>
      <c r="FJ20" s="250" t="s">
        <v>593</v>
      </c>
      <c r="FK20" s="339">
        <v>3.38</v>
      </c>
      <c r="FL20" s="339">
        <v>1.75</v>
      </c>
      <c r="FM20" s="339">
        <v>1.75</v>
      </c>
      <c r="FN20" s="251">
        <v>0.28299999999999997</v>
      </c>
      <c r="FO20" s="252">
        <v>2</v>
      </c>
      <c r="FP20" s="340">
        <f>((PI()*FM20*FN20/4)*(FK20^2-FL20^2))*FO20</f>
        <v>6.5050304039392461</v>
      </c>
      <c r="FQ20" s="254">
        <f>(((FP20/386.4)*(FK20^2+FL20^2))/8)</f>
        <v>3.0485806469599981E-2</v>
      </c>
      <c r="FR20" s="341" t="e">
        <f ca="1">Ratio</f>
        <v>#N/A</v>
      </c>
      <c r="FS20" s="256" t="e">
        <f ca="1">(FQ20/(FR20^2))</f>
        <v>#N/A</v>
      </c>
      <c r="FU20" s="250"/>
      <c r="FV20" s="378"/>
      <c r="FW20" s="378"/>
      <c r="FX20" s="380"/>
      <c r="FY20" s="251"/>
      <c r="FZ20" s="252"/>
      <c r="GA20" s="340"/>
      <c r="GB20" s="254"/>
      <c r="GC20" s="341"/>
      <c r="GD20" s="256"/>
    </row>
    <row r="21" spans="1:186" ht="15.75" x14ac:dyDescent="0.25">
      <c r="A21" s="250"/>
      <c r="B21" s="251"/>
      <c r="C21" s="251"/>
      <c r="D21" s="251"/>
      <c r="E21" s="251"/>
      <c r="F21" s="245"/>
      <c r="G21" s="253"/>
      <c r="H21" s="254"/>
      <c r="I21" s="245"/>
      <c r="J21" s="256"/>
      <c r="L21" s="250"/>
      <c r="M21" s="251"/>
      <c r="N21" s="251"/>
      <c r="O21" s="251"/>
      <c r="P21" s="251"/>
      <c r="Q21" s="245"/>
      <c r="R21" s="253"/>
      <c r="S21" s="254"/>
      <c r="T21" s="245"/>
      <c r="U21" s="256"/>
      <c r="W21" s="250"/>
      <c r="X21" s="251"/>
      <c r="Y21" s="251"/>
      <c r="Z21" s="251"/>
      <c r="AA21" s="251"/>
      <c r="AB21" s="245"/>
      <c r="AC21" s="253"/>
      <c r="AD21" s="254"/>
      <c r="AE21" s="245"/>
      <c r="AF21" s="256"/>
      <c r="AH21" s="250"/>
      <c r="AI21" s="251"/>
      <c r="AJ21" s="251"/>
      <c r="AK21" s="251"/>
      <c r="AL21" s="251"/>
      <c r="AM21" s="245"/>
      <c r="AN21" s="253"/>
      <c r="AO21" s="254"/>
      <c r="AP21" s="245"/>
      <c r="AQ21" s="245"/>
      <c r="AS21" s="250" t="s">
        <v>597</v>
      </c>
      <c r="AT21" s="251">
        <v>3.1880000000000002</v>
      </c>
      <c r="AU21" s="251">
        <v>1.25</v>
      </c>
      <c r="AV21" s="251">
        <v>0.438</v>
      </c>
      <c r="AW21" s="251">
        <v>0.28299999999999997</v>
      </c>
      <c r="AX21" s="257">
        <v>1</v>
      </c>
      <c r="AY21" s="253">
        <f>((PI()*AV21*AW21/4)*(AT21^2-AU21^2))*AX21</f>
        <v>0.83732006407148896</v>
      </c>
      <c r="AZ21" s="254">
        <f>(((AY21/386.4)*(AT21^2+AU21^2))/8)</f>
        <v>3.1762048555163971E-3</v>
      </c>
      <c r="BA21" s="251" t="e">
        <f ca="1">Ratio</f>
        <v>#N/A</v>
      </c>
      <c r="BB21" s="256" t="e">
        <f ca="1">(AZ21/(BA21^2))</f>
        <v>#N/A</v>
      </c>
      <c r="BD21" s="250" t="s">
        <v>597</v>
      </c>
      <c r="BE21" s="251">
        <v>3.1880000000000002</v>
      </c>
      <c r="BF21" s="251">
        <v>1.25</v>
      </c>
      <c r="BG21" s="251">
        <v>0.438</v>
      </c>
      <c r="BH21" s="251">
        <v>0.28299999999999997</v>
      </c>
      <c r="BI21" s="257">
        <v>1</v>
      </c>
      <c r="BJ21" s="253">
        <f>((PI()*BG21*BH21/4)*(BE21^2-BF21^2))*BI21</f>
        <v>0.83732006407148896</v>
      </c>
      <c r="BK21" s="254">
        <f>(((BJ21/386.4)*(BE21^2+BF21^2))/8)</f>
        <v>3.1762048555163971E-3</v>
      </c>
      <c r="BL21" s="251" t="e">
        <f ca="1">Ratio</f>
        <v>#N/A</v>
      </c>
      <c r="BM21" s="256" t="e">
        <f ca="1">(BK21/(BL21^2))</f>
        <v>#N/A</v>
      </c>
      <c r="BO21" s="250" t="s">
        <v>597</v>
      </c>
      <c r="BP21" s="251">
        <v>3.1880000000000002</v>
      </c>
      <c r="BQ21" s="251">
        <v>1.25</v>
      </c>
      <c r="BR21" s="251">
        <v>0.438</v>
      </c>
      <c r="BS21" s="251">
        <v>0.28299999999999997</v>
      </c>
      <c r="BT21" s="257">
        <v>1</v>
      </c>
      <c r="BU21" s="253">
        <f>((PI()*BR21*BS21/4)*(BP21^2-BQ21^2))*BT21</f>
        <v>0.83732006407148896</v>
      </c>
      <c r="BV21" s="254">
        <f>(((BU21/386.4)*(BP21^2+BQ21^2))/8)</f>
        <v>3.1762048555163971E-3</v>
      </c>
      <c r="BW21" s="255" t="e">
        <f ca="1">Ratio</f>
        <v>#N/A</v>
      </c>
      <c r="BX21" s="256" t="e">
        <f ca="1">(BV21/(BW21^2))</f>
        <v>#N/A</v>
      </c>
      <c r="BZ21" s="250" t="s">
        <v>597</v>
      </c>
      <c r="CA21" s="251">
        <v>3.1875</v>
      </c>
      <c r="CB21" s="251">
        <v>1.875</v>
      </c>
      <c r="CC21" s="251">
        <v>0.438</v>
      </c>
      <c r="CD21" s="251">
        <v>0.28299999999999997</v>
      </c>
      <c r="CE21" s="257">
        <v>1</v>
      </c>
      <c r="CF21" s="253">
        <f>((PI()*CC21*CD21/4)*(CA21^2-CB21^2))*CE21</f>
        <v>0.64686667168652401</v>
      </c>
      <c r="CG21" s="254">
        <f>(((CF21/386.4)*(CA21^2+CB21^2))/8)</f>
        <v>2.8618035390464776E-3</v>
      </c>
      <c r="CH21" s="255" t="e">
        <f ca="1">Ratio</f>
        <v>#N/A</v>
      </c>
      <c r="CI21" s="256" t="e">
        <f ca="1">(CG21/(CH21^2))</f>
        <v>#N/A</v>
      </c>
      <c r="CK21" s="250" t="s">
        <v>597</v>
      </c>
      <c r="CL21" s="251">
        <v>3.1875</v>
      </c>
      <c r="CM21" s="251">
        <v>1.875</v>
      </c>
      <c r="CN21" s="251">
        <v>0.4375</v>
      </c>
      <c r="CO21" s="251">
        <v>0.28299999999999997</v>
      </c>
      <c r="CP21" s="257">
        <v>1</v>
      </c>
      <c r="CQ21" s="253">
        <f>((PI()*CN21*CO21/4)*(CL21^2-CM21^2))*CP21</f>
        <v>0.64612823941290931</v>
      </c>
      <c r="CR21" s="254">
        <f>(((CQ21/386.4)*(CL21^2+CM21^2))/8)</f>
        <v>2.8585366400293013E-3</v>
      </c>
      <c r="CS21" s="255" t="e">
        <f ca="1">Ratio</f>
        <v>#N/A</v>
      </c>
      <c r="CT21" s="256" t="e">
        <f ca="1">(CR21/(CS21^2))</f>
        <v>#N/A</v>
      </c>
      <c r="CV21" s="250" t="s">
        <v>607</v>
      </c>
      <c r="CW21" s="251">
        <v>2.1875</v>
      </c>
      <c r="CX21" s="251">
        <v>1.875</v>
      </c>
      <c r="CY21" s="251">
        <v>0.875</v>
      </c>
      <c r="CZ21" s="251">
        <v>0.28299999999999997</v>
      </c>
      <c r="DA21" s="257">
        <v>1</v>
      </c>
      <c r="DB21" s="253">
        <f>((PI()*CY21*CZ21/4)*(CW21^2-CX21^2))*DA21</f>
        <v>0.24690379519011821</v>
      </c>
      <c r="DC21" s="254">
        <f>(((DB21/386.4)*(CW21^2+CX21^2))/8)</f>
        <v>6.6300931472178237E-4</v>
      </c>
      <c r="DD21" s="255" t="e">
        <f ca="1">Ratio</f>
        <v>#N/A</v>
      </c>
      <c r="DE21" s="256" t="e">
        <f ca="1">(DC21/(DD21^2))</f>
        <v>#N/A</v>
      </c>
      <c r="DG21" s="250" t="s">
        <v>607</v>
      </c>
      <c r="DH21" s="339">
        <v>2.1875</v>
      </c>
      <c r="DI21" s="339">
        <v>1.875</v>
      </c>
      <c r="DJ21" s="339">
        <v>0.875</v>
      </c>
      <c r="DK21" s="254">
        <v>0.28299999999999997</v>
      </c>
      <c r="DL21" s="257">
        <v>1</v>
      </c>
      <c r="DM21" s="340">
        <f>((PI()*DJ21*DK21/4)*(DH21^2-DI21^2))*DL21</f>
        <v>0.24690379519011821</v>
      </c>
      <c r="DN21" s="254">
        <f>(((DM21/386.4)*(DH21^2+DI21^2))/8)</f>
        <v>6.6300931472178237E-4</v>
      </c>
      <c r="DO21" s="255" t="e">
        <f ca="1">Ratio</f>
        <v>#N/A</v>
      </c>
      <c r="DP21" s="256" t="e">
        <f ca="1">(DN21/(DO21^2))</f>
        <v>#N/A</v>
      </c>
      <c r="DR21" s="250" t="s">
        <v>608</v>
      </c>
      <c r="DS21" s="251">
        <v>13.2</v>
      </c>
      <c r="DT21" s="251">
        <v>3.8340000000000001</v>
      </c>
      <c r="DU21" s="251">
        <v>2.375</v>
      </c>
      <c r="DV21" s="251">
        <v>0.28299999999999997</v>
      </c>
      <c r="DW21" s="252">
        <v>1</v>
      </c>
      <c r="DX21" s="340">
        <f>((PI()*DU21*DV21/4)*(DS21^2-DT21^2))*DW21</f>
        <v>84.219125432366567</v>
      </c>
      <c r="DY21" s="254">
        <f>(((DX21/386.4)*(DS21^2+DT21^2))/8)</f>
        <v>5.1476203952832709</v>
      </c>
      <c r="DZ21" s="341" t="e">
        <f ca="1">Ratio</f>
        <v>#N/A</v>
      </c>
      <c r="EA21" s="256" t="e">
        <f ca="1">(DY21/(DZ21^2))</f>
        <v>#N/A</v>
      </c>
      <c r="EC21" s="250"/>
      <c r="ED21" s="257"/>
      <c r="EE21" s="339"/>
      <c r="EF21" s="339"/>
      <c r="EG21" s="251"/>
      <c r="EH21" s="252"/>
      <c r="EI21" s="340"/>
      <c r="EJ21" s="254"/>
      <c r="EK21" s="341"/>
      <c r="EL21" s="256"/>
      <c r="EN21" s="250"/>
      <c r="EO21" s="257"/>
      <c r="EP21" s="339"/>
      <c r="EQ21" s="339"/>
      <c r="ER21" s="251"/>
      <c r="ES21" s="252"/>
      <c r="ET21" s="340"/>
      <c r="EU21" s="254"/>
      <c r="EV21" s="341"/>
      <c r="EW21" s="256"/>
      <c r="EY21" s="250"/>
      <c r="EZ21" s="339"/>
      <c r="FA21" s="339"/>
      <c r="FB21" s="339"/>
      <c r="FC21" s="251"/>
      <c r="FD21" s="252"/>
      <c r="FE21" s="340"/>
      <c r="FF21" s="254"/>
      <c r="FG21" s="341"/>
      <c r="FH21" s="256"/>
      <c r="FJ21" s="250"/>
      <c r="FK21" s="339"/>
      <c r="FL21" s="339"/>
      <c r="FM21" s="339"/>
      <c r="FN21" s="251"/>
      <c r="FO21" s="252"/>
      <c r="FP21" s="340"/>
      <c r="FQ21" s="254"/>
      <c r="FR21" s="341"/>
      <c r="FS21" s="256"/>
      <c r="FU21" s="250" t="s">
        <v>604</v>
      </c>
      <c r="FV21" s="378">
        <v>6.33</v>
      </c>
      <c r="FW21" s="378">
        <v>1.75</v>
      </c>
      <c r="FX21" s="379">
        <v>2</v>
      </c>
      <c r="FY21" s="251">
        <v>0.28299999999999997</v>
      </c>
      <c r="FZ21" s="252">
        <v>2</v>
      </c>
      <c r="GA21" s="340">
        <f>((PI()*FX21*FY21/4)*(FV21^2-FW21^2))*FZ21</f>
        <v>32.9013067283529</v>
      </c>
      <c r="GB21" s="254">
        <f>(((GA21/386.4)*(FV21^2+FW21^2))/8)</f>
        <v>0.45907072367471541</v>
      </c>
      <c r="GC21" s="341" t="e">
        <f ca="1">(FV14/FV15)*Ratio</f>
        <v>#N/A</v>
      </c>
      <c r="GD21" s="256" t="e">
        <f ca="1">(GB21/(GC21^2))</f>
        <v>#N/A</v>
      </c>
    </row>
    <row r="22" spans="1:186" ht="15.75" x14ac:dyDescent="0.25">
      <c r="A22" s="250" t="s">
        <v>605</v>
      </c>
      <c r="B22" s="251">
        <v>1.831</v>
      </c>
      <c r="C22" s="251">
        <v>0.94499999999999995</v>
      </c>
      <c r="D22" s="251">
        <v>1.28</v>
      </c>
      <c r="E22" s="251">
        <v>0.28299999999999997</v>
      </c>
      <c r="F22" s="257">
        <v>1</v>
      </c>
      <c r="G22" s="253">
        <f>((PI()*D22*E22/4)*(B22^2-C22^2))*F22</f>
        <v>0.69974446232371645</v>
      </c>
      <c r="H22" s="254">
        <f>(((G22/386.4)*(B22^2+C22^2))/8)</f>
        <v>9.6105890683847626E-4</v>
      </c>
      <c r="I22" s="255">
        <f>IF(I32=0,1,I32)</f>
        <v>1</v>
      </c>
      <c r="J22" s="256">
        <f>(H22/(I22^2))</f>
        <v>9.6105890683847626E-4</v>
      </c>
      <c r="L22" s="250" t="s">
        <v>605</v>
      </c>
      <c r="M22" s="251">
        <v>1.831</v>
      </c>
      <c r="N22" s="251">
        <v>0.625</v>
      </c>
      <c r="O22" s="251">
        <v>1.28</v>
      </c>
      <c r="P22" s="251">
        <v>0.28299999999999997</v>
      </c>
      <c r="Q22" s="257">
        <v>1</v>
      </c>
      <c r="R22" s="253">
        <f>((PI()*P22*O22/4)*(M22^2-N22^2))*Q22</f>
        <v>0.84267858399196405</v>
      </c>
      <c r="S22" s="254">
        <f>(((R22/386.4)*(M22^2+N22^2))/8)</f>
        <v>1.0204136510411957E-3</v>
      </c>
      <c r="T22" s="255">
        <f>IF(T32=0,1,T32)</f>
        <v>1</v>
      </c>
      <c r="U22" s="256">
        <f>(S22/(T22^2))</f>
        <v>1.0204136510411957E-3</v>
      </c>
      <c r="W22" s="250" t="s">
        <v>605</v>
      </c>
      <c r="X22" s="251">
        <v>2.319</v>
      </c>
      <c r="Y22" s="251">
        <v>0.875</v>
      </c>
      <c r="Z22" s="251">
        <v>1.28</v>
      </c>
      <c r="AA22" s="251">
        <v>0.28299999999999997</v>
      </c>
      <c r="AB22" s="257">
        <v>1</v>
      </c>
      <c r="AC22" s="253">
        <f>((PI()*Z22*AA22/4)*(X22^2-Y22^2))*AB22</f>
        <v>1.3121648251881071</v>
      </c>
      <c r="AD22" s="254">
        <f>(((AC22/386.4)*(X22^2+Y22^2))/8)</f>
        <v>2.6077688330593506E-3</v>
      </c>
      <c r="AE22" s="255">
        <f>IF(AE32=0,1,AE32)</f>
        <v>1</v>
      </c>
      <c r="AF22" s="256">
        <f>(AD22/(AE22^2))</f>
        <v>2.6077688330593506E-3</v>
      </c>
      <c r="AH22" s="250" t="s">
        <v>605</v>
      </c>
      <c r="AI22" s="251">
        <v>2.319</v>
      </c>
      <c r="AJ22" s="251">
        <v>0.875</v>
      </c>
      <c r="AK22" s="251">
        <v>1.28</v>
      </c>
      <c r="AL22" s="251">
        <v>0.28299999999999997</v>
      </c>
      <c r="AM22" s="257">
        <v>1</v>
      </c>
      <c r="AN22" s="253">
        <f>((PI()*AK22*AL22/4)*(AI22^2-AJ22^2))*AM22</f>
        <v>1.3121648251881071</v>
      </c>
      <c r="AO22" s="254">
        <f>(((AN22/386.4)*(AI22^2+AJ22^2))/8)</f>
        <v>2.6077688330593506E-3</v>
      </c>
      <c r="AP22" s="255">
        <f>IF(AP32=0,1,AP32)</f>
        <v>1</v>
      </c>
      <c r="AQ22" s="256">
        <f>(AO22/(AP22^2))</f>
        <v>2.6077688330593506E-3</v>
      </c>
      <c r="AS22" s="250" t="s">
        <v>606</v>
      </c>
      <c r="AT22" s="251">
        <v>2.1880000000000002</v>
      </c>
      <c r="AU22" s="251">
        <v>1.25</v>
      </c>
      <c r="AV22" s="251">
        <v>0.875</v>
      </c>
      <c r="AW22" s="251">
        <v>0.28299999999999997</v>
      </c>
      <c r="AX22" s="257">
        <v>1</v>
      </c>
      <c r="AY22" s="253">
        <f>((PI()*AV22*AW22/4)*(AT22^2-AU22^2))*AX22</f>
        <v>0.6271812706430675</v>
      </c>
      <c r="AZ22" s="254">
        <f>(((AY22/386.4)*(AT22^2+AU22^2))/8)</f>
        <v>1.2883356716826019E-3</v>
      </c>
      <c r="BA22" s="251" t="e">
        <f ca="1">Ratio</f>
        <v>#N/A</v>
      </c>
      <c r="BB22" s="256" t="e">
        <f ca="1">(AZ22/(BA22^2))</f>
        <v>#N/A</v>
      </c>
      <c r="BD22" s="250" t="s">
        <v>606</v>
      </c>
      <c r="BE22" s="251">
        <v>2.1880000000000002</v>
      </c>
      <c r="BF22" s="251">
        <v>1.25</v>
      </c>
      <c r="BG22" s="251">
        <v>0.875</v>
      </c>
      <c r="BH22" s="251">
        <v>0.28299999999999997</v>
      </c>
      <c r="BI22" s="257">
        <v>1</v>
      </c>
      <c r="BJ22" s="253">
        <f>((PI()*BG22*BH22/4)*(BE22^2-BF22^2))*BI22</f>
        <v>0.6271812706430675</v>
      </c>
      <c r="BK22" s="254">
        <f>(((BJ22/386.4)*(BE22^2+BF22^2))/8)</f>
        <v>1.2883356716826019E-3</v>
      </c>
      <c r="BL22" s="251" t="e">
        <f ca="1">Ratio</f>
        <v>#N/A</v>
      </c>
      <c r="BM22" s="256" t="e">
        <f ca="1">(BK22/(BL22^2))</f>
        <v>#N/A</v>
      </c>
      <c r="BO22" s="250" t="s">
        <v>607</v>
      </c>
      <c r="BP22" s="251">
        <v>2.1880000000000002</v>
      </c>
      <c r="BQ22" s="251">
        <v>1.25</v>
      </c>
      <c r="BR22" s="251">
        <v>0.875</v>
      </c>
      <c r="BS22" s="251">
        <v>0.28299999999999997</v>
      </c>
      <c r="BT22" s="257">
        <v>1</v>
      </c>
      <c r="BU22" s="253">
        <f>((PI()*BR22*BS22/4)*(BP22^2-BQ22^2))*BT22</f>
        <v>0.6271812706430675</v>
      </c>
      <c r="BV22" s="254">
        <f>(((BU22/386.4)*(BP22^2+BQ22^2))/8)</f>
        <v>1.2883356716826019E-3</v>
      </c>
      <c r="BW22" s="255" t="e">
        <f ca="1">Ratio</f>
        <v>#N/A</v>
      </c>
      <c r="BX22" s="256" t="e">
        <f ca="1">(BV22/(BW22^2))</f>
        <v>#N/A</v>
      </c>
      <c r="BZ22" s="250" t="s">
        <v>607</v>
      </c>
      <c r="CA22" s="251">
        <v>2.1875</v>
      </c>
      <c r="CB22" s="251">
        <v>1.875</v>
      </c>
      <c r="CC22" s="251">
        <v>0.875</v>
      </c>
      <c r="CD22" s="251">
        <v>0.28299999999999997</v>
      </c>
      <c r="CE22" s="257">
        <v>1</v>
      </c>
      <c r="CF22" s="253">
        <f>((PI()*CC22*CD22/4)*(CA22^2-CB22^2))*CE22</f>
        <v>0.24690379519011821</v>
      </c>
      <c r="CG22" s="254">
        <f>(((CF22/386.4)*(CA22^2+CB22^2))/8)</f>
        <v>6.6300931472178237E-4</v>
      </c>
      <c r="CH22" s="255" t="e">
        <f ca="1">Ratio</f>
        <v>#N/A</v>
      </c>
      <c r="CI22" s="256" t="e">
        <f ca="1">(CG22/(CH22^2))</f>
        <v>#N/A</v>
      </c>
      <c r="CK22" s="250" t="s">
        <v>607</v>
      </c>
      <c r="CL22" s="251">
        <v>2.1875</v>
      </c>
      <c r="CM22" s="251">
        <v>1.875</v>
      </c>
      <c r="CN22" s="251">
        <v>0.875</v>
      </c>
      <c r="CO22" s="251">
        <v>0.28299999999999997</v>
      </c>
      <c r="CP22" s="257">
        <v>1</v>
      </c>
      <c r="CQ22" s="253">
        <f>((PI()*CN22*CO22/4)*(CL22^2-CM22^2))*CP22</f>
        <v>0.24690379519011821</v>
      </c>
      <c r="CR22" s="254">
        <f>(((CQ22/386.4)*(CL22^2+CM22^2))/8)</f>
        <v>6.6300931472178237E-4</v>
      </c>
      <c r="CS22" s="255" t="e">
        <f ca="1">Ratio</f>
        <v>#N/A</v>
      </c>
      <c r="CT22" s="256" t="e">
        <f ca="1">(CR22/(CS22^2))</f>
        <v>#N/A</v>
      </c>
      <c r="CV22" s="250"/>
      <c r="CW22" s="251"/>
      <c r="CX22" s="251"/>
      <c r="CY22" s="251"/>
      <c r="CZ22" s="251"/>
      <c r="DA22" s="257"/>
      <c r="DB22" s="253"/>
      <c r="DC22" s="254"/>
      <c r="DD22" s="255"/>
      <c r="DE22" s="256"/>
      <c r="DG22" s="250"/>
      <c r="DH22" s="339"/>
      <c r="DI22" s="339"/>
      <c r="DJ22" s="339"/>
      <c r="DK22" s="254"/>
      <c r="DL22" s="245"/>
      <c r="DM22" s="340"/>
      <c r="DN22" s="254"/>
      <c r="DO22" s="255"/>
      <c r="DP22" s="256"/>
      <c r="DR22" s="250"/>
      <c r="DS22" s="341"/>
      <c r="DT22" s="341"/>
      <c r="DU22" s="342"/>
      <c r="DV22" s="251"/>
      <c r="DW22" s="252"/>
      <c r="DX22" s="340"/>
      <c r="DY22" s="254"/>
      <c r="DZ22" s="341"/>
      <c r="EA22" s="256"/>
      <c r="EC22" s="250" t="s">
        <v>587</v>
      </c>
      <c r="ED22" s="255">
        <v>8.77</v>
      </c>
      <c r="EE22" s="339">
        <v>4</v>
      </c>
      <c r="EF22" s="339">
        <v>2</v>
      </c>
      <c r="EG22" s="251">
        <v>0.28299999999999997</v>
      </c>
      <c r="EH22" s="257">
        <v>1</v>
      </c>
      <c r="EI22" s="435">
        <f>((PI()*EF22*EG22/4)*(ED22^2-EE22^2))*EH22</f>
        <v>27.077937959562227</v>
      </c>
      <c r="EJ22" s="254">
        <f>(((EI22/386.4)*(ED22^2+EE22^2))/8)</f>
        <v>0.81388772704548695</v>
      </c>
      <c r="EK22" s="255" t="e">
        <f ca="1">Ratio</f>
        <v>#N/A</v>
      </c>
      <c r="EL22" s="256" t="e">
        <f ca="1">(EJ22/(EK22^2))</f>
        <v>#N/A</v>
      </c>
      <c r="EN22" s="250" t="s">
        <v>587</v>
      </c>
      <c r="EO22" s="255">
        <v>8.77</v>
      </c>
      <c r="EP22" s="339">
        <v>4</v>
      </c>
      <c r="EQ22" s="339">
        <v>2</v>
      </c>
      <c r="ER22" s="251">
        <v>0.28299999999999997</v>
      </c>
      <c r="ES22" s="257">
        <v>1</v>
      </c>
      <c r="ET22" s="435">
        <f>((PI()*EQ22*ER22/4)*(EO22^2-EP22^2))*ES22</f>
        <v>27.077937959562227</v>
      </c>
      <c r="EU22" s="254">
        <f>(((ET22/386.4)*(EO22^2+EP22^2))/8)</f>
        <v>0.81388772704548695</v>
      </c>
      <c r="EV22" s="255" t="e">
        <f ca="1">Ratio</f>
        <v>#N/A</v>
      </c>
      <c r="EW22" s="256" t="e">
        <f ca="1">(EU22/(EV22^2))</f>
        <v>#N/A</v>
      </c>
      <c r="EY22" s="250" t="s">
        <v>587</v>
      </c>
      <c r="EZ22" s="339">
        <v>10.53</v>
      </c>
      <c r="FA22" s="339">
        <v>6</v>
      </c>
      <c r="FB22" s="339">
        <v>2</v>
      </c>
      <c r="FC22" s="254">
        <v>0.28299999999999997</v>
      </c>
      <c r="FD22" s="257">
        <v>1</v>
      </c>
      <c r="FE22" s="435">
        <f>((PI()*FB22*FC22/4)*(EZ22^2-FA22^2))*FD22</f>
        <v>33.287207874788145</v>
      </c>
      <c r="FF22" s="254">
        <f>(((FE22/386.4)*(EZ22^2+FA22^2))/8)</f>
        <v>1.5816689477018537</v>
      </c>
      <c r="FG22" s="255" t="e">
        <f ca="1">Ratio</f>
        <v>#N/A</v>
      </c>
      <c r="FH22" s="256" t="e">
        <f ca="1">(FF22/(FG22^2))</f>
        <v>#N/A</v>
      </c>
      <c r="FJ22" s="250" t="s">
        <v>587</v>
      </c>
      <c r="FK22" s="339">
        <v>10.53</v>
      </c>
      <c r="FL22" s="339">
        <v>6</v>
      </c>
      <c r="FM22" s="339">
        <v>2</v>
      </c>
      <c r="FN22" s="254">
        <v>0.28299999999999997</v>
      </c>
      <c r="FO22" s="257">
        <v>1</v>
      </c>
      <c r="FP22" s="435">
        <f>((PI()*FM22*FN22/4)*(FK22^2-FL22^2))*FO22</f>
        <v>33.287207874788145</v>
      </c>
      <c r="FQ22" s="254">
        <f>(((FP22/386.4)*(FK22^2+FL22^2))/8)</f>
        <v>1.5816689477018537</v>
      </c>
      <c r="FR22" s="255" t="e">
        <f ca="1">Ratio</f>
        <v>#N/A</v>
      </c>
      <c r="FS22" s="256" t="e">
        <f ca="1">(FQ22/(FR22^2))</f>
        <v>#N/A</v>
      </c>
      <c r="FU22" s="250" t="s">
        <v>593</v>
      </c>
      <c r="FV22" s="378">
        <v>3.38</v>
      </c>
      <c r="FW22" s="378">
        <v>1.75</v>
      </c>
      <c r="FX22" s="379">
        <v>1.5</v>
      </c>
      <c r="FY22" s="251">
        <v>0.28299999999999997</v>
      </c>
      <c r="FZ22" s="252">
        <v>2</v>
      </c>
      <c r="GA22" s="340">
        <f>((PI()*FX22*FY22/4)*(FV22^2-FW22^2))*FZ22</f>
        <v>5.5757403462336397</v>
      </c>
      <c r="GB22" s="254">
        <f>(((GA22/386.4)*(FV22^2+FW22^2))/8)</f>
        <v>2.6130691259657127E-2</v>
      </c>
      <c r="GC22" s="341" t="e">
        <f ca="1">(FV14/FV15)*Ratio</f>
        <v>#N/A</v>
      </c>
      <c r="GD22" s="256" t="e">
        <f ca="1">(GB22/(GC22^2))</f>
        <v>#N/A</v>
      </c>
    </row>
    <row r="23" spans="1:186" ht="15.75" x14ac:dyDescent="0.25">
      <c r="A23" s="250" t="s">
        <v>609</v>
      </c>
      <c r="B23" s="251">
        <v>1.19</v>
      </c>
      <c r="C23" s="251">
        <v>0.94499999999999995</v>
      </c>
      <c r="D23" s="251">
        <v>0.42</v>
      </c>
      <c r="E23" s="251">
        <v>0.28299999999999997</v>
      </c>
      <c r="F23" s="257">
        <v>1</v>
      </c>
      <c r="G23" s="253">
        <f>((PI()*D23*E23/4)*(B23^2-C23^2))*F23</f>
        <v>4.8830320073770625E-2</v>
      </c>
      <c r="H23" s="254">
        <f>(((G23/386.4)*(B23^2+C23^2))/8)</f>
        <v>3.6476226979925464E-5</v>
      </c>
      <c r="I23" s="255">
        <f>IF(I32=0,1,I32)</f>
        <v>1</v>
      </c>
      <c r="J23" s="256">
        <f>(H23/(I23^2))</f>
        <v>3.6476226979925464E-5</v>
      </c>
      <c r="L23" s="250" t="s">
        <v>609</v>
      </c>
      <c r="M23" s="251">
        <v>1.19</v>
      </c>
      <c r="N23" s="251">
        <v>0.625</v>
      </c>
      <c r="O23" s="251">
        <v>0.42</v>
      </c>
      <c r="P23" s="251">
        <v>0.28299999999999997</v>
      </c>
      <c r="Q23" s="257">
        <v>1</v>
      </c>
      <c r="R23" s="253">
        <f>((PI()*P23*O23/4)*(M23^2-N23^2))*Q23</f>
        <v>9.5730578746164377E-2</v>
      </c>
      <c r="S23" s="254">
        <f>(((R23/386.4)*(M23^2+N23^2))/8)</f>
        <v>5.5952002421442755E-5</v>
      </c>
      <c r="T23" s="255">
        <f>IF(T32=0,1,T32)</f>
        <v>1</v>
      </c>
      <c r="U23" s="256">
        <f>(S23/(T23^2))</f>
        <v>5.5952002421442755E-5</v>
      </c>
      <c r="W23" s="250" t="s">
        <v>610</v>
      </c>
      <c r="X23" s="251">
        <v>1.19</v>
      </c>
      <c r="Y23" s="251">
        <v>0.875</v>
      </c>
      <c r="Z23" s="251">
        <v>0.42</v>
      </c>
      <c r="AA23" s="251">
        <v>0.28299999999999997</v>
      </c>
      <c r="AB23" s="257">
        <v>1</v>
      </c>
      <c r="AC23" s="253">
        <f>((PI()*Z23*AA23/4)*(X23^2-Y23^2))*AB23</f>
        <v>6.0723419108131615E-2</v>
      </c>
      <c r="AD23" s="254">
        <f>(((AC23/386.4)*(X23^2+Y23^2))/8)</f>
        <v>4.2857725657896118E-5</v>
      </c>
      <c r="AE23" s="255">
        <f>IF(AE32=0,1,AE32)</f>
        <v>1</v>
      </c>
      <c r="AF23" s="256">
        <f>(AD23/(AE23^2))</f>
        <v>4.2857725657896118E-5</v>
      </c>
      <c r="AH23" s="250" t="s">
        <v>610</v>
      </c>
      <c r="AI23" s="251">
        <v>1.19</v>
      </c>
      <c r="AJ23" s="251">
        <v>0.875</v>
      </c>
      <c r="AK23" s="251">
        <v>0.42</v>
      </c>
      <c r="AL23" s="251">
        <v>0.28299999999999997</v>
      </c>
      <c r="AM23" s="257">
        <v>1</v>
      </c>
      <c r="AN23" s="253">
        <f>((PI()*AK23*AL23/4)*(AI23^2-AJ23^2))*AM23</f>
        <v>6.0723419108131615E-2</v>
      </c>
      <c r="AO23" s="254">
        <f>(((AN23/386.4)*(AI23^2+AJ23^2))/8)</f>
        <v>4.2857725657896118E-5</v>
      </c>
      <c r="AP23" s="255">
        <f>IF(AP32=0,1,AP32)</f>
        <v>1</v>
      </c>
      <c r="AQ23" s="256">
        <f>(AO23/(AP23^2))</f>
        <v>4.2857725657896118E-5</v>
      </c>
      <c r="AS23" s="250"/>
      <c r="AT23" s="251"/>
      <c r="AU23" s="251"/>
      <c r="AV23" s="251"/>
      <c r="AW23" s="251"/>
      <c r="AX23" s="245"/>
      <c r="AY23" s="253"/>
      <c r="AZ23" s="254"/>
      <c r="BA23" s="251"/>
      <c r="BB23" s="256"/>
      <c r="BD23" s="250"/>
      <c r="BE23" s="251"/>
      <c r="BF23" s="251"/>
      <c r="BG23" s="251"/>
      <c r="BH23" s="251"/>
      <c r="BI23" s="245"/>
      <c r="BJ23" s="253"/>
      <c r="BK23" s="254"/>
      <c r="BL23" s="251"/>
      <c r="BM23" s="245"/>
      <c r="BO23" s="250"/>
      <c r="BP23" s="251"/>
      <c r="BQ23" s="251"/>
      <c r="BS23" s="251"/>
      <c r="BT23" s="245"/>
      <c r="BU23" s="253"/>
      <c r="BV23" s="254"/>
      <c r="BW23" s="245"/>
      <c r="BX23" s="245"/>
      <c r="BZ23" s="250"/>
      <c r="CA23" s="251"/>
      <c r="CB23" s="251"/>
      <c r="CC23" s="251"/>
      <c r="CD23" s="251"/>
      <c r="CE23" s="245"/>
      <c r="CF23" s="253"/>
      <c r="CG23" s="254"/>
      <c r="CH23" s="245"/>
      <c r="CI23" s="245"/>
      <c r="CK23" s="250"/>
      <c r="CL23" s="251"/>
      <c r="CM23" s="251"/>
      <c r="CN23" s="251"/>
      <c r="CO23" s="251"/>
      <c r="CP23" s="257"/>
      <c r="CQ23" s="344"/>
      <c r="CR23" s="254"/>
      <c r="CS23" s="255"/>
      <c r="CT23" s="256"/>
      <c r="CV23" s="250" t="s">
        <v>605</v>
      </c>
      <c r="CW23" s="251">
        <v>3.4</v>
      </c>
      <c r="CX23" s="251">
        <v>2.75</v>
      </c>
      <c r="CY23" s="251">
        <v>1.22</v>
      </c>
      <c r="CZ23" s="257">
        <v>0.28299999999999997</v>
      </c>
      <c r="DA23" s="257">
        <v>1</v>
      </c>
      <c r="DB23" s="253">
        <f>((PI()*CY23*CZ23/4)*(CW23^2-CX23^2))*DA23</f>
        <v>1.0839883631536751</v>
      </c>
      <c r="DC23" s="254">
        <f>(((DB23/386.4)*(CW23^2+CX23^2))/8)</f>
        <v>6.7056701198260063E-3</v>
      </c>
      <c r="DD23" s="255">
        <f>IF($DD$37=0,1,$DD$37)</f>
        <v>1</v>
      </c>
      <c r="DE23" s="256">
        <f>(DC23/(DD23^2))</f>
        <v>6.7056701198260063E-3</v>
      </c>
      <c r="DG23" s="250" t="s">
        <v>605</v>
      </c>
      <c r="DH23" s="339">
        <v>3.4</v>
      </c>
      <c r="DI23" s="339">
        <v>2.75</v>
      </c>
      <c r="DJ23" s="339">
        <v>1.22</v>
      </c>
      <c r="DK23" s="254">
        <v>0.28299999999999997</v>
      </c>
      <c r="DL23" s="257">
        <v>1</v>
      </c>
      <c r="DM23" s="340">
        <f>((PI()*DJ23*DK23/4)*(DH23^2-DI23^2))*DL23</f>
        <v>1.0839883631536751</v>
      </c>
      <c r="DN23" s="254">
        <f>(((DM23/386.4)*(DH23^2+DI23^2))/8)</f>
        <v>6.7056701198260063E-3</v>
      </c>
      <c r="DO23" s="255">
        <f>IF($DD$37=0,1,$DD$37)</f>
        <v>1</v>
      </c>
      <c r="DP23" s="256">
        <f>(DN23/(DO23^2))</f>
        <v>6.7056701198260063E-3</v>
      </c>
      <c r="DR23" s="250" t="s">
        <v>611</v>
      </c>
      <c r="DS23" s="251">
        <v>6</v>
      </c>
      <c r="DT23" s="251">
        <v>1.5</v>
      </c>
      <c r="DU23" s="251">
        <v>0.75</v>
      </c>
      <c r="DV23" s="251">
        <v>0.28299999999999997</v>
      </c>
      <c r="DW23" s="252">
        <v>1</v>
      </c>
      <c r="DX23" s="340">
        <f>((PI()*DU23*DV23/4)*(DS23^2-DT23^2))*DW23</f>
        <v>5.6261506561124079</v>
      </c>
      <c r="DY23" s="254">
        <f>(((DX23/386.4)*(DS23^2+DT23^2))/8)</f>
        <v>6.9617062175303973E-2</v>
      </c>
      <c r="DZ23" s="341" t="e">
        <f ca="1">Ratio</f>
        <v>#N/A</v>
      </c>
      <c r="EA23" s="256" t="e">
        <f ca="1">(DY23/(DZ23^2))</f>
        <v>#N/A</v>
      </c>
      <c r="EC23" s="345" t="s">
        <v>805</v>
      </c>
      <c r="ED23" s="257">
        <v>4</v>
      </c>
      <c r="EE23" s="339">
        <v>2.25</v>
      </c>
      <c r="EF23" s="339">
        <v>2.5</v>
      </c>
      <c r="EG23" s="257">
        <v>0.28299999999999997</v>
      </c>
      <c r="EH23" s="257">
        <v>1</v>
      </c>
      <c r="EI23" s="435">
        <f>((PI()*EF23*EG23/4)*(ED23^2-EE23^2))*EH23</f>
        <v>6.07763188160291</v>
      </c>
      <c r="EJ23" s="254">
        <f>(((EI23/386.4)*(ED23^2+EE23^2))/8)</f>
        <v>4.1411141791621794E-2</v>
      </c>
      <c r="EK23" s="255" t="e">
        <f ca="1">Ratio</f>
        <v>#N/A</v>
      </c>
      <c r="EL23" s="256" t="e">
        <f ca="1">(EJ23/(EK23^2))</f>
        <v>#N/A</v>
      </c>
      <c r="EN23" s="345" t="s">
        <v>805</v>
      </c>
      <c r="EO23" s="257">
        <v>4</v>
      </c>
      <c r="EP23" s="339">
        <v>2.25</v>
      </c>
      <c r="EQ23" s="339">
        <v>2.5</v>
      </c>
      <c r="ER23" s="257">
        <v>0.28299999999999997</v>
      </c>
      <c r="ES23" s="257">
        <v>1</v>
      </c>
      <c r="ET23" s="435">
        <f>((PI()*EQ23*ER23/4)*(EO23^2-EP23^2))*ES23</f>
        <v>6.07763188160291</v>
      </c>
      <c r="EU23" s="254">
        <f>(((ET23/386.4)*(EO23^2+EP23^2))/8)</f>
        <v>4.1411141791621794E-2</v>
      </c>
      <c r="EV23" s="255" t="e">
        <f ca="1">Ratio</f>
        <v>#N/A</v>
      </c>
      <c r="EW23" s="256" t="e">
        <f ca="1">(EU23/(EV23^2))</f>
        <v>#N/A</v>
      </c>
      <c r="EY23" s="345" t="s">
        <v>805</v>
      </c>
      <c r="EZ23" s="339">
        <v>6</v>
      </c>
      <c r="FA23" s="339">
        <v>3.5</v>
      </c>
      <c r="FB23" s="339">
        <v>2</v>
      </c>
      <c r="FC23" s="254">
        <v>0.28299999999999997</v>
      </c>
      <c r="FD23" s="257">
        <v>1</v>
      </c>
      <c r="FE23" s="435">
        <f>((PI()*FB23*FC23/4)*(EZ23^2-FA23^2))*FD23</f>
        <v>10.557714811470197</v>
      </c>
      <c r="FF23" s="254">
        <f>(((FE23/386.4)*(EZ23^2+FA23^2))/8)</f>
        <v>0.16479352343861187</v>
      </c>
      <c r="FG23" s="255" t="e">
        <f ca="1">Ratio</f>
        <v>#N/A</v>
      </c>
      <c r="FH23" s="256" t="e">
        <f ca="1">(FF23/(FG23^2))</f>
        <v>#N/A</v>
      </c>
      <c r="FJ23" s="345" t="s">
        <v>805</v>
      </c>
      <c r="FK23" s="339">
        <v>6</v>
      </c>
      <c r="FL23" s="339">
        <v>3.5</v>
      </c>
      <c r="FM23" s="339">
        <v>2</v>
      </c>
      <c r="FN23" s="254">
        <v>0.28299999999999997</v>
      </c>
      <c r="FO23" s="257">
        <v>1</v>
      </c>
      <c r="FP23" s="435">
        <f>((PI()*FM23*FN23/4)*(FK23^2-FL23^2))*FO23</f>
        <v>10.557714811470197</v>
      </c>
      <c r="FQ23" s="254">
        <f>(((FP23/386.4)*(FK23^2+FL23^2))/8)</f>
        <v>0.16479352343861187</v>
      </c>
      <c r="FR23" s="255" t="e">
        <f ca="1">Ratio</f>
        <v>#N/A</v>
      </c>
      <c r="FS23" s="256" t="e">
        <f ca="1">(FQ23/(FR23^2))</f>
        <v>#N/A</v>
      </c>
      <c r="FU23" s="250"/>
      <c r="FV23" s="379"/>
      <c r="FW23" s="379"/>
      <c r="FX23" s="379"/>
      <c r="FY23" s="251"/>
      <c r="FZ23" s="252"/>
      <c r="GA23" s="340"/>
      <c r="GB23" s="254"/>
      <c r="GC23" s="341"/>
      <c r="GD23" s="256"/>
    </row>
    <row r="24" spans="1:186" ht="15.75" x14ac:dyDescent="0.25">
      <c r="A24" s="250"/>
      <c r="B24" s="251"/>
      <c r="C24" s="251"/>
      <c r="D24" s="251"/>
      <c r="E24" s="251"/>
      <c r="F24" s="245"/>
      <c r="G24" s="253"/>
      <c r="H24" s="254"/>
      <c r="I24" s="245"/>
      <c r="J24" s="245"/>
      <c r="L24" s="250"/>
      <c r="M24" s="251"/>
      <c r="N24" s="251"/>
      <c r="O24" s="251"/>
      <c r="P24" s="251"/>
      <c r="Q24" s="245"/>
      <c r="R24" s="253"/>
      <c r="S24" s="254"/>
      <c r="T24" s="255"/>
      <c r="U24" s="256"/>
      <c r="W24" s="250"/>
      <c r="X24" s="251"/>
      <c r="Y24" s="251"/>
      <c r="Z24" s="251"/>
      <c r="AA24" s="251"/>
      <c r="AB24" s="245"/>
      <c r="AC24" s="253"/>
      <c r="AD24" s="254"/>
      <c r="AE24" s="245"/>
      <c r="AF24" s="245"/>
      <c r="AH24" s="250"/>
      <c r="AI24" s="251"/>
      <c r="AJ24" s="251"/>
      <c r="AK24" s="251"/>
      <c r="AL24" s="251"/>
      <c r="AM24" s="245"/>
      <c r="AN24" s="253"/>
      <c r="AO24" s="254"/>
      <c r="AP24" s="245"/>
      <c r="AQ24" s="245"/>
      <c r="AS24" s="250" t="s">
        <v>605</v>
      </c>
      <c r="AT24" s="251">
        <v>3.15</v>
      </c>
      <c r="AU24" s="251">
        <v>1.57</v>
      </c>
      <c r="AV24" s="251">
        <v>0.35</v>
      </c>
      <c r="AW24" s="251">
        <v>0.28299999999999997</v>
      </c>
      <c r="AX24" s="257">
        <v>1</v>
      </c>
      <c r="AY24" s="253">
        <f>((PI()*AV24*AW24/4)*(AT24^2-AU24^2))*AX24</f>
        <v>0.58015420825909569</v>
      </c>
      <c r="AZ24" s="254">
        <f>(((AY24/386.4)*(AT24^2+AU24^2))/8)</f>
        <v>2.3248583848954197E-3</v>
      </c>
      <c r="BA24" s="251">
        <f>IF(BA36=0,1,BA36)</f>
        <v>1</v>
      </c>
      <c r="BB24" s="256">
        <f>(AZ24/(BA24^2))</f>
        <v>2.3248583848954197E-3</v>
      </c>
      <c r="BD24" s="250" t="s">
        <v>605</v>
      </c>
      <c r="BE24" s="251">
        <v>3.15</v>
      </c>
      <c r="BF24" s="251">
        <v>1.57</v>
      </c>
      <c r="BG24" s="251">
        <v>0.35</v>
      </c>
      <c r="BH24" s="251">
        <v>0.28299999999999997</v>
      </c>
      <c r="BI24" s="257">
        <v>1</v>
      </c>
      <c r="BJ24" s="253">
        <f>((PI()*BG24*BH24/4)*(BE24^2-BF24^2))*BI24</f>
        <v>0.58015420825909569</v>
      </c>
      <c r="BK24" s="254">
        <f>(((BJ24/386.4)*(BE24^2+BF24^2))/8)</f>
        <v>2.3248583848954197E-3</v>
      </c>
      <c r="BL24" s="251">
        <f>IF(BL36=0,1,BL36)</f>
        <v>1</v>
      </c>
      <c r="BM24" s="256">
        <f>(BK24/(BL24^2))</f>
        <v>2.3248583848954197E-3</v>
      </c>
      <c r="BO24" s="250" t="s">
        <v>605</v>
      </c>
      <c r="BP24" s="251">
        <v>3.15</v>
      </c>
      <c r="BQ24" s="251">
        <v>1.57</v>
      </c>
      <c r="BR24" s="251">
        <v>0.35</v>
      </c>
      <c r="BS24" s="251">
        <v>0.28299999999999997</v>
      </c>
      <c r="BT24" s="257">
        <v>1</v>
      </c>
      <c r="BU24" s="253">
        <f>((PI()*BR24*BS24/4)*(BP24^2-BQ24^2))*BT24</f>
        <v>0.58015420825909569</v>
      </c>
      <c r="BV24" s="254">
        <f>(((BU24/386.4)*(BP24^2+BQ24^2))/8)</f>
        <v>2.3248583848954197E-3</v>
      </c>
      <c r="BW24" s="255">
        <f>IF(BW37=0,1,BW37)</f>
        <v>1</v>
      </c>
      <c r="BX24" s="256">
        <f>(BV24/(BW24^2))</f>
        <v>2.3248583848954197E-3</v>
      </c>
      <c r="BZ24" s="250" t="s">
        <v>605</v>
      </c>
      <c r="CA24" s="251">
        <v>3.4</v>
      </c>
      <c r="CB24" s="251">
        <v>2.75</v>
      </c>
      <c r="CC24" s="251">
        <v>1.22</v>
      </c>
      <c r="CD24" s="251">
        <v>0.28299999999999997</v>
      </c>
      <c r="CE24" s="257">
        <v>1</v>
      </c>
      <c r="CF24" s="253">
        <f>((PI()*CC24*CD24/4)*(CA24^2-CB24^2))*CE24</f>
        <v>1.0839883631536751</v>
      </c>
      <c r="CG24" s="254">
        <f>(((CF24/386.4)*(CA24^2+CB24^2))/8)</f>
        <v>6.7056701198260063E-3</v>
      </c>
      <c r="CH24" s="255">
        <f>IF(CH36=0,1,CH36)</f>
        <v>1</v>
      </c>
      <c r="CI24" s="256">
        <f>(CG24/(CH24^2))</f>
        <v>6.7056701198260063E-3</v>
      </c>
      <c r="CK24" s="250" t="s">
        <v>605</v>
      </c>
      <c r="CL24" s="251">
        <v>3.4</v>
      </c>
      <c r="CM24" s="251">
        <v>2.75</v>
      </c>
      <c r="CN24" s="251">
        <v>1.22</v>
      </c>
      <c r="CO24" s="251">
        <v>0.28299999999999997</v>
      </c>
      <c r="CP24" s="257">
        <v>1</v>
      </c>
      <c r="CQ24" s="253">
        <f>((PI()*CN24*CO24/4)*(CL24^2-CM24^2))*CP24</f>
        <v>1.0839883631536751</v>
      </c>
      <c r="CR24" s="254">
        <f>(((CQ24/386.4)*(CL24^2+CM24^2))/8)</f>
        <v>6.7056701198260063E-3</v>
      </c>
      <c r="CS24" s="255">
        <f>IF($CS$36=0,1,$CS$36)</f>
        <v>1</v>
      </c>
      <c r="CT24" s="256">
        <f>(CR24/(CS24^2))</f>
        <v>6.7056701198260063E-3</v>
      </c>
      <c r="CV24" s="250" t="s">
        <v>613</v>
      </c>
      <c r="CW24" s="251">
        <v>2.75</v>
      </c>
      <c r="CX24" s="251">
        <v>1.871</v>
      </c>
      <c r="CY24" s="251">
        <v>0.68</v>
      </c>
      <c r="CZ24" s="257">
        <v>0.28299999999999997</v>
      </c>
      <c r="DA24" s="257">
        <v>1</v>
      </c>
      <c r="DB24" s="253">
        <f>((PI()*CY24*CZ24/4)*(CW24^2-CX24^2))*DA24</f>
        <v>0.61391758463061896</v>
      </c>
      <c r="DC24" s="254">
        <f>(((DB24/386.4)*(CW24^2+CX24^2))/8)</f>
        <v>2.1971586442637069E-3</v>
      </c>
      <c r="DD24" s="255">
        <f>IF($DD$37=0,1,$DD$37)</f>
        <v>1</v>
      </c>
      <c r="DE24" s="256">
        <f>(DC24/(DD24^2))</f>
        <v>2.1971586442637069E-3</v>
      </c>
      <c r="DG24" s="345" t="s">
        <v>613</v>
      </c>
      <c r="DH24" s="339">
        <v>2.75</v>
      </c>
      <c r="DI24" s="339">
        <v>1.871</v>
      </c>
      <c r="DJ24" s="339">
        <v>0.68</v>
      </c>
      <c r="DK24" s="254">
        <v>0.28299999999999997</v>
      </c>
      <c r="DL24" s="257">
        <v>1</v>
      </c>
      <c r="DM24" s="340">
        <f>((PI()*DJ24*DK24/4)*(DH24^2-DI24^2))*DL24</f>
        <v>0.61391758463061896</v>
      </c>
      <c r="DN24" s="254">
        <f>(((DM24/386.4)*(DH24^2+DI24^2))/8)</f>
        <v>2.1971586442637069E-3</v>
      </c>
      <c r="DO24" s="255">
        <f>IF($DD$37=0,1,$DD$37)</f>
        <v>1</v>
      </c>
      <c r="DP24" s="256">
        <f>(DN24/(DO24^2))</f>
        <v>2.1971586442637069E-3</v>
      </c>
      <c r="DR24" s="250" t="s">
        <v>614</v>
      </c>
      <c r="DS24" s="251">
        <v>3.8340000000000001</v>
      </c>
      <c r="DT24" s="251">
        <v>1.5</v>
      </c>
      <c r="DU24" s="251">
        <v>1.875</v>
      </c>
      <c r="DV24" s="251">
        <v>0.28299999999999997</v>
      </c>
      <c r="DW24" s="252">
        <v>1</v>
      </c>
      <c r="DX24" s="340">
        <f>((PI()*DU24*DV24/4)*(DS24^2-DT24^2))*DW24</f>
        <v>5.1883761227931977</v>
      </c>
      <c r="DY24" s="254">
        <f>(((DX24/386.4)*(DS24^2+DT24^2))/8)</f>
        <v>2.8448716240407027E-2</v>
      </c>
      <c r="DZ24" s="341" t="e">
        <f ca="1">Ratio</f>
        <v>#N/A</v>
      </c>
      <c r="EA24" s="256" t="e">
        <f ca="1">(DY24/(DZ24^2))</f>
        <v>#N/A</v>
      </c>
      <c r="EC24" s="250" t="s">
        <v>808</v>
      </c>
      <c r="ED24" s="257"/>
      <c r="EE24" s="339"/>
      <c r="EF24" s="339"/>
      <c r="EG24" s="257"/>
      <c r="EH24" s="257"/>
      <c r="EI24" s="435"/>
      <c r="EJ24" s="254"/>
      <c r="EK24" s="255"/>
      <c r="EL24" s="256"/>
      <c r="EN24" s="250" t="s">
        <v>808</v>
      </c>
      <c r="EO24" s="257"/>
      <c r="EP24" s="339"/>
      <c r="EQ24" s="339"/>
      <c r="ER24" s="257"/>
      <c r="ES24" s="257"/>
      <c r="ET24" s="435"/>
      <c r="EU24" s="254"/>
      <c r="EV24" s="255"/>
      <c r="EW24" s="256"/>
      <c r="EY24" s="250" t="s">
        <v>807</v>
      </c>
      <c r="EZ24" s="339"/>
      <c r="FA24" s="339"/>
      <c r="FB24" s="339"/>
      <c r="FC24" s="254"/>
      <c r="FD24" s="257"/>
      <c r="FE24" s="435"/>
      <c r="FF24" s="254"/>
      <c r="FG24" s="255"/>
      <c r="FH24" s="256"/>
      <c r="FJ24" s="250" t="s">
        <v>807</v>
      </c>
      <c r="FK24" s="339"/>
      <c r="FL24" s="339"/>
      <c r="FM24" s="339"/>
      <c r="FN24" s="254"/>
      <c r="FO24" s="257"/>
      <c r="FP24" s="435"/>
      <c r="FQ24" s="254"/>
      <c r="FR24" s="255"/>
      <c r="FS24" s="256"/>
      <c r="FU24" s="250" t="s">
        <v>587</v>
      </c>
      <c r="FV24" s="378">
        <v>14.04</v>
      </c>
      <c r="FW24" s="378">
        <v>6</v>
      </c>
      <c r="FX24" s="380">
        <v>3.31</v>
      </c>
      <c r="FY24" s="251">
        <v>0.28299999999999997</v>
      </c>
      <c r="FZ24" s="252">
        <v>1</v>
      </c>
      <c r="GA24" s="340">
        <f>((PI()*FX24*FY24/4)*(FV24^2-FW24^2))*FZ24</f>
        <v>118.53813132971241</v>
      </c>
      <c r="GB24" s="254">
        <f>(((GA24/386.4)*(FV24^2+FW24^2))/8)</f>
        <v>8.9395053172207177</v>
      </c>
      <c r="GC24" s="341" t="e">
        <f ca="1">Ratio</f>
        <v>#N/A</v>
      </c>
      <c r="GD24" s="256" t="e">
        <f ca="1">(GB24/(GC24^2))</f>
        <v>#N/A</v>
      </c>
    </row>
    <row r="25" spans="1:186" ht="15.75" x14ac:dyDescent="0.25">
      <c r="A25" s="250" t="s">
        <v>665</v>
      </c>
      <c r="B25" s="257">
        <v>2.25</v>
      </c>
      <c r="C25" s="257">
        <v>1.605</v>
      </c>
      <c r="D25" s="257">
        <f ca="1">VALUE(Width)+1.75</f>
        <v>1.75</v>
      </c>
      <c r="E25" s="257">
        <v>0.28299999999999997</v>
      </c>
      <c r="F25" s="381">
        <f ca="1">S_Roll</f>
        <v>5</v>
      </c>
      <c r="G25" s="253">
        <f ca="1">((PI()*E25*D25/4)*(B25^2-C25^2))*F25</f>
        <v>4.8358015144987503</v>
      </c>
      <c r="H25" s="260">
        <f ca="1">((G25/32.3)*0.5*((((B25*0.5)^2)+((C25*0.5)^2))/144))*12</f>
        <v>1.1912535720954773E-2</v>
      </c>
      <c r="I25" s="251" t="e">
        <f ca="1">(B25/B7)*Ratio</f>
        <v>#N/A</v>
      </c>
      <c r="J25" s="256" t="e">
        <f ca="1">(H25/(I25^2))</f>
        <v>#N/A</v>
      </c>
      <c r="L25" s="250" t="s">
        <v>665</v>
      </c>
      <c r="M25" s="257">
        <v>2.25</v>
      </c>
      <c r="N25" s="257">
        <v>1.605</v>
      </c>
      <c r="O25" s="257">
        <f ca="1">VALUE(Width)+1.75</f>
        <v>1.75</v>
      </c>
      <c r="P25" s="257">
        <v>0.28299999999999997</v>
      </c>
      <c r="Q25" s="382">
        <f ca="1">S_Roll</f>
        <v>5</v>
      </c>
      <c r="R25" s="253">
        <f ca="1">((PI()*P25*O25/4)*(M25^2-N25^2))*Q25</f>
        <v>4.8358015144987503</v>
      </c>
      <c r="S25" s="254">
        <f ca="1">((R25/32.3)*0.5*((((M25*0.5)^2)+((N25*0.5)^2))/144))*12</f>
        <v>1.1912535720954773E-2</v>
      </c>
      <c r="T25" s="255" t="e">
        <f ca="1">(M25/M7)*Ratio</f>
        <v>#N/A</v>
      </c>
      <c r="U25" s="256" t="e">
        <f ca="1">(S25/(T25^2))</f>
        <v>#N/A</v>
      </c>
      <c r="W25" s="250" t="s">
        <v>665</v>
      </c>
      <c r="X25" s="380">
        <v>2.25</v>
      </c>
      <c r="Y25" s="380">
        <v>1.75</v>
      </c>
      <c r="Z25" s="378">
        <f ca="1">VALUE(Width)+1.75</f>
        <v>1.75</v>
      </c>
      <c r="AA25" s="383">
        <v>0.28299999999999997</v>
      </c>
      <c r="AB25" s="384">
        <f ca="1">S_Roll</f>
        <v>5</v>
      </c>
      <c r="AC25" s="385">
        <f ca="1">((PI()*AA25*Z25/4)*(X25^2-Y25^2))*AB25</f>
        <v>3.889684404225862</v>
      </c>
      <c r="AD25" s="386">
        <f ca="1">((AC25/32.3)*0.5*((((X25*0.5)^2)+((Y25*0.5)^2))/144))*12</f>
        <v>1.0192107128591052E-2</v>
      </c>
      <c r="AE25" s="378" t="e">
        <f ca="1">(X25/X7)*Ratio</f>
        <v>#N/A</v>
      </c>
      <c r="AF25" s="387" t="e">
        <f ca="1">(AD25/(AE25^2))</f>
        <v>#N/A</v>
      </c>
      <c r="AH25" s="250" t="s">
        <v>665</v>
      </c>
      <c r="AI25" s="257">
        <v>2.25</v>
      </c>
      <c r="AJ25" s="257">
        <v>1.75</v>
      </c>
      <c r="AK25" s="257">
        <f ca="1">VALUE(Width)+1.75</f>
        <v>1.75</v>
      </c>
      <c r="AL25" s="251">
        <v>0.28299999999999997</v>
      </c>
      <c r="AM25" s="384">
        <f ca="1">S_Roll</f>
        <v>5</v>
      </c>
      <c r="AN25" s="385">
        <f ca="1">((PI()*AL25*AK25/4)*(AI25^2-AJ25^2))*AM25</f>
        <v>3.889684404225862</v>
      </c>
      <c r="AO25" s="386">
        <f ca="1">((AN25/32.3)*0.5*((((AI25*0.5)^2)+((AJ25*0.5)^2))/144))*12</f>
        <v>1.0192107128591052E-2</v>
      </c>
      <c r="AP25" s="383" t="e">
        <f ca="1">(AI25/AI7)*Ratio</f>
        <v>#N/A</v>
      </c>
      <c r="AQ25" s="387" t="e">
        <f ca="1">(AO25/(AP25^2))</f>
        <v>#N/A</v>
      </c>
      <c r="AS25" s="250" t="s">
        <v>612</v>
      </c>
      <c r="AT25" s="251">
        <v>3.15</v>
      </c>
      <c r="AU25" s="251">
        <v>1.625</v>
      </c>
      <c r="AV25" s="251">
        <v>0.87</v>
      </c>
      <c r="AW25" s="251">
        <v>0.28299999999999997</v>
      </c>
      <c r="AX25" s="257">
        <v>1</v>
      </c>
      <c r="AY25" s="253">
        <f>((PI()*AV25*AW25/4)*(AT25^2-AU25^2))*AX25</f>
        <v>1.4081171537308179</v>
      </c>
      <c r="AZ25" s="254">
        <f>(((AY25/386.4)*(AT25^2+AU25^2))/8)</f>
        <v>5.7228104997944108E-3</v>
      </c>
      <c r="BA25" s="251">
        <f>IF(BA37=0,1,BA37)</f>
        <v>1</v>
      </c>
      <c r="BB25" s="256">
        <f>(AZ25/(BA25^2))</f>
        <v>5.7228104997944108E-3</v>
      </c>
      <c r="BD25" s="250" t="s">
        <v>612</v>
      </c>
      <c r="BE25" s="251">
        <v>3.15</v>
      </c>
      <c r="BF25" s="251">
        <v>1.625</v>
      </c>
      <c r="BG25" s="251">
        <v>0.87</v>
      </c>
      <c r="BH25" s="251">
        <v>0.28299999999999997</v>
      </c>
      <c r="BI25" s="257">
        <v>1</v>
      </c>
      <c r="BJ25" s="253">
        <f>((PI()*BG25*BH25/4)*(BE25^2-BF25^2))*BI25</f>
        <v>1.4081171537308179</v>
      </c>
      <c r="BK25" s="254">
        <f>(((BJ25/386.4)*(BE25^2+BF25^2))/8)</f>
        <v>5.7228104997944108E-3</v>
      </c>
      <c r="BL25" s="251">
        <f>IF(BL37=0,1,BL37)</f>
        <v>1</v>
      </c>
      <c r="BM25" s="256">
        <f>(BK25/(BL25^2))</f>
        <v>5.7228104997944108E-3</v>
      </c>
      <c r="BO25" s="250" t="s">
        <v>613</v>
      </c>
      <c r="BP25" s="251">
        <v>3.15</v>
      </c>
      <c r="BQ25" s="251">
        <v>1.625</v>
      </c>
      <c r="BR25" s="251">
        <v>0.87</v>
      </c>
      <c r="BS25" s="251">
        <v>0.28299999999999997</v>
      </c>
      <c r="BT25" s="257">
        <v>1</v>
      </c>
      <c r="BU25" s="253">
        <f>((PI()*BR25*BS25/4)*(BP25^2-BQ25^2))*BT25</f>
        <v>1.4081171537308179</v>
      </c>
      <c r="BV25" s="254">
        <f>(((BU25/386.4)*(BP25^2+BQ25^2))/8)</f>
        <v>5.7228104997944108E-3</v>
      </c>
      <c r="BW25" s="255">
        <f>IF(BW35=0,1,BW35)</f>
        <v>1</v>
      </c>
      <c r="BX25" s="256">
        <f>(BV25/(BW25^2))</f>
        <v>5.7228104997944108E-3</v>
      </c>
      <c r="BZ25" s="250" t="s">
        <v>613</v>
      </c>
      <c r="CA25" s="251">
        <v>2.75</v>
      </c>
      <c r="CB25" s="251">
        <v>1.871</v>
      </c>
      <c r="CC25" s="251">
        <v>0.68</v>
      </c>
      <c r="CD25" s="251">
        <v>0.28299999999999997</v>
      </c>
      <c r="CE25" s="257">
        <v>1</v>
      </c>
      <c r="CF25" s="253">
        <f>((PI()*CC25*CD25/4)*(CA25^2-CB25^2))*CE25</f>
        <v>0.61391758463061896</v>
      </c>
      <c r="CG25" s="254">
        <f>(((CF25/386.4)*(CA25^2+CB25^2))/8)</f>
        <v>2.1971586442637069E-3</v>
      </c>
      <c r="CH25" s="255">
        <f>IF(CH37=0,1,CH37)</f>
        <v>1</v>
      </c>
      <c r="CI25" s="256">
        <f>(CG25/(CH25^2))</f>
        <v>2.1971586442637069E-3</v>
      </c>
      <c r="CK25" s="250" t="s">
        <v>613</v>
      </c>
      <c r="CL25" s="251">
        <v>2.75</v>
      </c>
      <c r="CM25" s="251">
        <v>1.871</v>
      </c>
      <c r="CN25" s="251">
        <v>0.68</v>
      </c>
      <c r="CO25" s="251">
        <v>0.28299999999999997</v>
      </c>
      <c r="CP25" s="257">
        <v>1</v>
      </c>
      <c r="CQ25" s="253">
        <f>((PI()*CN25*CO25/4)*(CL25^2-CM25^2))*CP25</f>
        <v>0.61391758463061896</v>
      </c>
      <c r="CR25" s="254">
        <f>(((CQ25/386.4)*(CL25^2+CM25^2))/8)</f>
        <v>2.1971586442637069E-3</v>
      </c>
      <c r="CS25" s="255">
        <f>IF($CS$36=0,1,$CS$36)</f>
        <v>1</v>
      </c>
      <c r="CT25" s="256">
        <f>(CR25/(CS25^2))</f>
        <v>2.1971586442637069E-3</v>
      </c>
      <c r="CV25" s="250"/>
      <c r="CW25" s="251"/>
      <c r="CX25" s="251"/>
      <c r="CY25" s="251"/>
      <c r="CZ25" s="257"/>
      <c r="DA25" s="257"/>
      <c r="DB25" s="253"/>
      <c r="DC25" s="254"/>
      <c r="DD25" s="255"/>
      <c r="DE25" s="256"/>
      <c r="DG25" s="250"/>
      <c r="DH25" s="339"/>
      <c r="DI25" s="339"/>
      <c r="DJ25" s="339"/>
      <c r="DK25" s="254"/>
      <c r="DL25" s="257"/>
      <c r="DM25" s="340"/>
      <c r="DN25" s="254"/>
      <c r="DO25" s="255"/>
      <c r="DP25" s="256"/>
      <c r="DR25" s="345"/>
      <c r="DS25" s="251"/>
      <c r="DT25" s="251"/>
      <c r="DU25" s="251"/>
      <c r="DV25" s="251"/>
      <c r="DW25" s="252"/>
      <c r="DX25" s="340"/>
      <c r="DY25" s="254"/>
      <c r="DZ25" s="341"/>
      <c r="EA25" s="256"/>
      <c r="EC25" s="345"/>
      <c r="ED25" s="257"/>
      <c r="EE25" s="339"/>
      <c r="EF25" s="339"/>
      <c r="EG25" s="257"/>
      <c r="EH25" s="257"/>
      <c r="EI25" s="435"/>
      <c r="EJ25" s="254"/>
      <c r="EK25" s="255"/>
      <c r="EL25" s="256"/>
      <c r="EN25" s="345"/>
      <c r="EO25" s="257"/>
      <c r="EP25" s="339"/>
      <c r="EQ25" s="339"/>
      <c r="ER25" s="257"/>
      <c r="ES25" s="257"/>
      <c r="ET25" s="435"/>
      <c r="EU25" s="254"/>
      <c r="EV25" s="255"/>
      <c r="EW25" s="256"/>
      <c r="EY25" s="345"/>
      <c r="EZ25" s="339"/>
      <c r="FA25" s="339"/>
      <c r="FB25" s="339"/>
      <c r="FC25" s="254"/>
      <c r="FD25" s="257"/>
      <c r="FE25" s="435"/>
      <c r="FF25" s="254"/>
      <c r="FG25" s="255"/>
      <c r="FH25" s="256"/>
      <c r="FJ25" s="345"/>
      <c r="FK25" s="339"/>
      <c r="FL25" s="339"/>
      <c r="FM25" s="339"/>
      <c r="FN25" s="254"/>
      <c r="FO25" s="257"/>
      <c r="FP25" s="435"/>
      <c r="FQ25" s="254"/>
      <c r="FR25" s="255"/>
      <c r="FS25" s="256"/>
      <c r="FU25" s="345" t="s">
        <v>815</v>
      </c>
      <c r="FV25" s="380">
        <v>6</v>
      </c>
      <c r="FW25" s="380">
        <v>3.5</v>
      </c>
      <c r="FX25" s="380">
        <v>3.19</v>
      </c>
      <c r="FY25" s="251">
        <v>0.28299999999999997</v>
      </c>
      <c r="FZ25" s="252">
        <v>1</v>
      </c>
      <c r="GA25" s="340">
        <f>((PI()*FX25*FY25/4)*(FV25^2-FW25^2))*FZ25</f>
        <v>16.839555124294964</v>
      </c>
      <c r="GB25" s="254">
        <f>(((GA25/386.4)*(FV25^2+FW25^2))/8)</f>
        <v>0.26284566988458591</v>
      </c>
      <c r="GC25" s="341" t="e">
        <f ca="1">Ratio</f>
        <v>#N/A</v>
      </c>
      <c r="GD25" s="256" t="e">
        <f ca="1">(GB25/(GC25^2))</f>
        <v>#N/A</v>
      </c>
    </row>
    <row r="26" spans="1:186" ht="15.75" x14ac:dyDescent="0.25">
      <c r="A26" s="250"/>
      <c r="B26" s="255"/>
      <c r="C26" s="255"/>
      <c r="D26" s="257"/>
      <c r="E26" s="251"/>
      <c r="F26" s="245"/>
      <c r="G26" s="253"/>
      <c r="H26" s="254"/>
      <c r="I26" s="251"/>
      <c r="J26" s="256"/>
      <c r="L26" s="250"/>
      <c r="M26" s="255"/>
      <c r="N26" s="255"/>
      <c r="O26" s="245"/>
      <c r="P26" s="251"/>
      <c r="Q26" s="245"/>
      <c r="R26" s="253"/>
      <c r="S26" s="254"/>
      <c r="T26" s="255"/>
      <c r="U26" s="256"/>
      <c r="W26" s="250"/>
      <c r="X26" s="378"/>
      <c r="Y26" s="378"/>
      <c r="Z26" s="380"/>
      <c r="AA26" s="380"/>
      <c r="AB26" s="380"/>
      <c r="AC26" s="380"/>
      <c r="AD26" s="380"/>
      <c r="AE26" s="380"/>
      <c r="AF26" s="380"/>
      <c r="AH26" s="250"/>
      <c r="AI26" s="255"/>
      <c r="AJ26" s="255"/>
      <c r="AK26" s="245"/>
      <c r="AL26" s="258"/>
      <c r="AM26" s="380"/>
      <c r="AN26" s="380"/>
      <c r="AO26" s="380"/>
      <c r="AP26" s="380"/>
      <c r="AQ26" s="380"/>
      <c r="AS26" s="250"/>
      <c r="AT26" s="251"/>
      <c r="AU26" s="251"/>
      <c r="AV26" s="251"/>
      <c r="AW26" s="251"/>
      <c r="AX26" s="245"/>
      <c r="AY26" s="253"/>
      <c r="AZ26" s="254"/>
      <c r="BA26" s="251"/>
      <c r="BB26" s="256"/>
      <c r="BD26" s="250"/>
      <c r="BE26" s="251"/>
      <c r="BF26" s="251"/>
      <c r="BG26" s="251"/>
      <c r="BH26" s="251"/>
      <c r="BI26" s="245"/>
      <c r="BJ26" s="253"/>
      <c r="BK26" s="254"/>
      <c r="BL26" s="251"/>
      <c r="BM26" s="245"/>
      <c r="BO26" s="250"/>
      <c r="BP26" s="251"/>
      <c r="BQ26" s="251"/>
      <c r="BR26" s="251"/>
      <c r="BS26" s="251"/>
      <c r="BT26" s="245"/>
      <c r="BU26" s="253"/>
      <c r="BV26" s="254"/>
      <c r="BW26" s="245"/>
      <c r="BX26" s="245"/>
      <c r="BZ26" s="250"/>
      <c r="CA26" s="251"/>
      <c r="CB26" s="251"/>
      <c r="CC26" s="251"/>
      <c r="CD26" s="251"/>
      <c r="CE26" s="245"/>
      <c r="CF26" s="253"/>
      <c r="CG26" s="254"/>
      <c r="CH26" s="245"/>
      <c r="CI26" s="245"/>
      <c r="CK26" s="250"/>
      <c r="CL26" s="251"/>
      <c r="CM26" s="251"/>
      <c r="CN26" s="251"/>
      <c r="CO26" s="251"/>
      <c r="CP26" s="245"/>
      <c r="CQ26" s="253"/>
      <c r="CR26" s="254"/>
      <c r="CS26" s="255"/>
      <c r="CT26" s="245"/>
      <c r="CV26" s="250" t="s">
        <v>597</v>
      </c>
      <c r="CW26" s="251">
        <v>2.6869999999999998</v>
      </c>
      <c r="CX26" s="251">
        <v>1.6539999999999999</v>
      </c>
      <c r="CY26" s="251">
        <v>0.375</v>
      </c>
      <c r="CZ26" s="251">
        <v>0.28299999999999997</v>
      </c>
      <c r="DA26" s="257">
        <v>1</v>
      </c>
      <c r="DB26" s="253">
        <f>((PI()*CY26*CZ26/4)*(CW26^2-CX26^2))*DA26</f>
        <v>0.37376419197220784</v>
      </c>
      <c r="DC26" s="254">
        <f>(((DB26/386.4)*(CW26^2+CX26^2))/8)</f>
        <v>1.2037650619677893E-3</v>
      </c>
      <c r="DD26" s="255">
        <f>IF($DD$37=0,1,$DD$37)</f>
        <v>1</v>
      </c>
      <c r="DE26" s="256">
        <f>(DC26/(DD26^2))</f>
        <v>1.2037650619677893E-3</v>
      </c>
      <c r="DG26" s="345" t="s">
        <v>597</v>
      </c>
      <c r="DH26" s="339">
        <v>2.6869999999999998</v>
      </c>
      <c r="DI26" s="339">
        <v>1.6539999999999999</v>
      </c>
      <c r="DJ26" s="339">
        <v>0.375</v>
      </c>
      <c r="DK26" s="254">
        <v>0.28299999999999997</v>
      </c>
      <c r="DL26" s="257">
        <v>1</v>
      </c>
      <c r="DM26" s="340">
        <f>((PI()*DJ26*DK26/4)*(DH26^2-DI26^2))*DL26</f>
        <v>0.37376419197220784</v>
      </c>
      <c r="DN26" s="254">
        <f>(((DM26/386.4)*(DH26^2+DI26^2))/8)</f>
        <v>1.2037650619677893E-3</v>
      </c>
      <c r="DO26" s="255">
        <f>IF($DO$37=0,1,$DO$37)</f>
        <v>1</v>
      </c>
      <c r="DP26" s="256">
        <f>(DN26/(DO26^2))</f>
        <v>1.2037650619677893E-3</v>
      </c>
      <c r="DR26" s="250" t="s">
        <v>615</v>
      </c>
      <c r="DS26" s="251">
        <v>2.375</v>
      </c>
      <c r="DT26" s="251">
        <v>0.54900000000000004</v>
      </c>
      <c r="DU26" s="251">
        <v>2.375</v>
      </c>
      <c r="DV26" s="251">
        <v>0.28299999999999997</v>
      </c>
      <c r="DW26" s="252">
        <v>1</v>
      </c>
      <c r="DX26" s="340">
        <f>((PI()*DU26*DV26/4)*(DS26^2-DT26^2))*DW26</f>
        <v>2.8185002153278575</v>
      </c>
      <c r="DY26" s="254">
        <f>(((DX26/386.4)*(DS26^2+DT26^2))/8)</f>
        <v>5.4178317677548299E-3</v>
      </c>
      <c r="DZ26" s="341">
        <v>2</v>
      </c>
      <c r="EA26" s="256">
        <f>(DY26/(DZ26^2))</f>
        <v>1.3544579419387075E-3</v>
      </c>
      <c r="EC26" s="345"/>
      <c r="ED26" s="245"/>
      <c r="EE26" s="339"/>
      <c r="EF26" s="339"/>
      <c r="EG26" s="245"/>
      <c r="EH26" s="245"/>
      <c r="EI26" s="435"/>
      <c r="EJ26" s="254"/>
      <c r="EK26" s="255"/>
      <c r="EL26" s="256"/>
      <c r="EN26" s="345"/>
      <c r="EO26" s="245"/>
      <c r="EP26" s="339"/>
      <c r="EQ26" s="339"/>
      <c r="ER26" s="245"/>
      <c r="ES26" s="245"/>
      <c r="ET26" s="435"/>
      <c r="EU26" s="254"/>
      <c r="EV26" s="255"/>
      <c r="EW26" s="256"/>
      <c r="EY26" s="345"/>
      <c r="EZ26" s="339"/>
      <c r="FA26" s="339"/>
      <c r="FB26" s="339"/>
      <c r="FC26" s="254"/>
      <c r="FD26" s="245"/>
      <c r="FE26" s="435"/>
      <c r="FF26" s="254"/>
      <c r="FG26" s="255"/>
      <c r="FH26" s="256"/>
      <c r="FJ26" s="345"/>
      <c r="FK26" s="339"/>
      <c r="FL26" s="339"/>
      <c r="FM26" s="339"/>
      <c r="FN26" s="254"/>
      <c r="FO26" s="245"/>
      <c r="FP26" s="435"/>
      <c r="FQ26" s="254"/>
      <c r="FR26" s="255"/>
      <c r="FS26" s="256"/>
      <c r="FU26" s="250" t="s">
        <v>806</v>
      </c>
      <c r="FV26" s="380"/>
      <c r="FW26" s="380"/>
      <c r="FX26" s="380"/>
      <c r="FY26" s="251"/>
      <c r="FZ26" s="252"/>
      <c r="GA26" s="340"/>
      <c r="GB26" s="254"/>
      <c r="GC26" s="341"/>
      <c r="GD26" s="256"/>
    </row>
    <row r="27" spans="1:186" ht="15.75" x14ac:dyDescent="0.25">
      <c r="A27" s="250" t="s">
        <v>666</v>
      </c>
      <c r="B27" s="257">
        <v>2.25</v>
      </c>
      <c r="C27" s="257">
        <v>1.605</v>
      </c>
      <c r="D27" s="257">
        <f ca="1">VALUE(Width)+1.75</f>
        <v>1.75</v>
      </c>
      <c r="E27" s="257">
        <v>0.28299999999999997</v>
      </c>
      <c r="F27" s="381">
        <f ca="1">SP_Roll</f>
        <v>2</v>
      </c>
      <c r="G27" s="253">
        <f ca="1">((PI()*E27*D27/4)*(B27^2-C27^2))*F27</f>
        <v>1.9343206057995002</v>
      </c>
      <c r="H27" s="254">
        <f ca="1">(((G27/386.4)*(B27^2+C27^2))/8)</f>
        <v>4.7798124694017298E-3</v>
      </c>
      <c r="I27" s="251" t="e">
        <f ca="1">(B27/B7)*Ratio</f>
        <v>#N/A</v>
      </c>
      <c r="J27" s="256" t="e">
        <f ca="1">(H27/(I27^2))</f>
        <v>#N/A</v>
      </c>
      <c r="L27" s="250" t="s">
        <v>666</v>
      </c>
      <c r="M27" s="257">
        <v>2.25</v>
      </c>
      <c r="N27" s="257">
        <v>1.605</v>
      </c>
      <c r="O27" s="257">
        <f ca="1">VALUE(Width)+1.75</f>
        <v>1.75</v>
      </c>
      <c r="P27" s="257">
        <v>0.28299999999999997</v>
      </c>
      <c r="Q27" s="382">
        <f ca="1">SP_Roll</f>
        <v>2</v>
      </c>
      <c r="R27" s="253">
        <f ca="1">((PI()*P27*O27/4)*(M27^2-N27^2))*Q27</f>
        <v>1.9343206057995002</v>
      </c>
      <c r="S27" s="254">
        <f ca="1">(((R27/386.4)*(M27^2+N27^2))/8)</f>
        <v>4.7798124694017298E-3</v>
      </c>
      <c r="T27" s="255" t="e">
        <f ca="1">(M27/M7)*Ratio</f>
        <v>#N/A</v>
      </c>
      <c r="U27" s="256" t="e">
        <f ca="1">(S27/(T27^2))</f>
        <v>#N/A</v>
      </c>
      <c r="W27" s="250" t="s">
        <v>666</v>
      </c>
      <c r="X27" s="380">
        <v>2.25</v>
      </c>
      <c r="Y27" s="380">
        <v>1.75</v>
      </c>
      <c r="Z27" s="380">
        <f ca="1">VALUE(Width)+1.75</f>
        <v>1.75</v>
      </c>
      <c r="AA27" s="380">
        <v>0.28299999999999997</v>
      </c>
      <c r="AB27" s="380">
        <f ca="1">SP_Roll</f>
        <v>2</v>
      </c>
      <c r="AC27" s="386">
        <f ca="1">((PI()*AA27*Z27/4)*(X27^2-Y27^2))*AB27</f>
        <v>1.5558737616903449</v>
      </c>
      <c r="AD27" s="386">
        <f ca="1">(((AC27/386.4)*(X27^2+Y27^2))/8)</f>
        <v>4.0895038540806321E-3</v>
      </c>
      <c r="AE27" s="380" t="e">
        <f ca="1">(X27/X7)*Ratio</f>
        <v>#N/A</v>
      </c>
      <c r="AF27" s="386" t="e">
        <f ca="1">(AD27/(AE27^2))</f>
        <v>#N/A</v>
      </c>
      <c r="AH27" s="250" t="s">
        <v>666</v>
      </c>
      <c r="AI27" s="257">
        <v>2.25</v>
      </c>
      <c r="AJ27" s="257">
        <v>1.75</v>
      </c>
      <c r="AK27" s="257">
        <f ca="1">VALUE(Width)+1.75</f>
        <v>1.75</v>
      </c>
      <c r="AL27" s="258">
        <v>0.28299999999999997</v>
      </c>
      <c r="AM27" s="380">
        <f ca="1">SP_Roll</f>
        <v>2</v>
      </c>
      <c r="AN27" s="380">
        <f ca="1">((PI()*AL27*AK27/4)*(AI27^2-AJ27^2))*AM27</f>
        <v>1.5558737616903449</v>
      </c>
      <c r="AO27" s="380">
        <f ca="1">(((AN27/386.4)*(AI27^2+AJ27^2))/8)</f>
        <v>4.0895038540806321E-3</v>
      </c>
      <c r="AP27" s="386" t="e">
        <f ca="1">(AI27/AI7)*Ratio</f>
        <v>#N/A</v>
      </c>
      <c r="AQ27" s="388" t="e">
        <f ca="1">(AO27/(AP27^2))</f>
        <v>#N/A</v>
      </c>
      <c r="AS27" s="250" t="s">
        <v>597</v>
      </c>
      <c r="AT27" s="251">
        <v>2.5</v>
      </c>
      <c r="AU27" s="251">
        <v>0.94399999999999995</v>
      </c>
      <c r="AV27" s="251">
        <v>0.25</v>
      </c>
      <c r="AW27" s="251">
        <v>0.28299999999999997</v>
      </c>
      <c r="AX27" s="257">
        <v>1</v>
      </c>
      <c r="AY27" s="253">
        <f>((PI()*AV27*AW27/4)*(AT27^2-AU27^2))*AX27</f>
        <v>0.29777556750239176</v>
      </c>
      <c r="AZ27" s="254">
        <f>(((AY27/386.4)*(AT27^2+AU27^2))/8)</f>
        <v>6.8790625809127845E-4</v>
      </c>
      <c r="BA27" s="251">
        <f>IF(BA36=0,1,BA36)</f>
        <v>1</v>
      </c>
      <c r="BB27" s="256">
        <f>(AZ27/(BA27^2))</f>
        <v>6.8790625809127845E-4</v>
      </c>
      <c r="BD27" s="250" t="s">
        <v>597</v>
      </c>
      <c r="BE27" s="251">
        <v>2.5</v>
      </c>
      <c r="BF27" s="251">
        <v>0.94399999999999995</v>
      </c>
      <c r="BG27" s="251">
        <v>0.25</v>
      </c>
      <c r="BH27" s="251">
        <v>0.28299999999999997</v>
      </c>
      <c r="BI27" s="257">
        <v>1</v>
      </c>
      <c r="BJ27" s="253">
        <f>((PI()*BG27*BH27/4)*(BE27^2-BF27^2))*BI27</f>
        <v>0.29777556750239176</v>
      </c>
      <c r="BK27" s="254">
        <f>(((BJ27/386.4)*(BE27^2+BF27^2))/8)</f>
        <v>6.8790625809127845E-4</v>
      </c>
      <c r="BL27" s="251">
        <f>IF(BL36=0,1,BL36)</f>
        <v>1</v>
      </c>
      <c r="BM27" s="256">
        <f>(BK27/(BL27^2))</f>
        <v>6.8790625809127845E-4</v>
      </c>
      <c r="BO27" s="250" t="s">
        <v>597</v>
      </c>
      <c r="BP27" s="251">
        <v>2.5</v>
      </c>
      <c r="BQ27" s="251">
        <v>0.94399999999999995</v>
      </c>
      <c r="BR27" s="251">
        <v>0.25</v>
      </c>
      <c r="BS27" s="251">
        <v>0.28299999999999997</v>
      </c>
      <c r="BT27" s="257">
        <v>1</v>
      </c>
      <c r="BU27" s="253">
        <f>((PI()*BR27*BS27/4)*(BP27^2-BQ27^2))*BT27</f>
        <v>0.29777556750239176</v>
      </c>
      <c r="BV27" s="254">
        <f>(((BU27/386.4)*(BP27^2+BQ27^2))/8)</f>
        <v>6.8790625809127845E-4</v>
      </c>
      <c r="BW27" s="255">
        <f>IF(BW37=0,1,BW37)</f>
        <v>1</v>
      </c>
      <c r="BX27" s="256">
        <f>(BV27/(BW27^2))</f>
        <v>6.8790625809127845E-4</v>
      </c>
      <c r="BZ27" s="250" t="s">
        <v>597</v>
      </c>
      <c r="CA27" s="251">
        <v>2.6869999999999998</v>
      </c>
      <c r="CB27" s="251">
        <v>1.6539999999999999</v>
      </c>
      <c r="CC27" s="251">
        <v>0.375</v>
      </c>
      <c r="CD27" s="251">
        <v>0.28299999999999997</v>
      </c>
      <c r="CE27" s="257">
        <v>1</v>
      </c>
      <c r="CF27" s="253">
        <f>((PI()*CC27*CD27/4)*(CA27^2-CB27^2))*CE27</f>
        <v>0.37376419197220784</v>
      </c>
      <c r="CG27" s="254">
        <f>(((CF27/386.4)*(CA27^2+CB27^2))/8)</f>
        <v>1.2037650619677893E-3</v>
      </c>
      <c r="CH27" s="255">
        <f>IF(CH36=0,1,CH36)</f>
        <v>1</v>
      </c>
      <c r="CI27" s="256">
        <f>(CG27/(CH27^2))</f>
        <v>1.2037650619677893E-3</v>
      </c>
      <c r="CK27" s="250" t="s">
        <v>597</v>
      </c>
      <c r="CL27" s="251">
        <v>2.6869999999999998</v>
      </c>
      <c r="CM27" s="251">
        <v>1.6539999999999999</v>
      </c>
      <c r="CN27" s="251">
        <v>0.375</v>
      </c>
      <c r="CO27" s="251">
        <v>0.28299999999999997</v>
      </c>
      <c r="CP27" s="257">
        <v>1</v>
      </c>
      <c r="CQ27" s="253">
        <f>((PI()*CN27*CO27/4)*(CL27^2-CM27^2))*CP27</f>
        <v>0.37376419197220784</v>
      </c>
      <c r="CR27" s="254">
        <f>(((CQ27/386.4)*(CL27^2+CM27^2))/8)</f>
        <v>1.2037650619677893E-3</v>
      </c>
      <c r="CS27" s="255">
        <f>IF($CS$36=0,1,$CS$36)</f>
        <v>1</v>
      </c>
      <c r="CT27" s="256">
        <f>(CR27/(CS27^2))</f>
        <v>1.2037650619677893E-3</v>
      </c>
      <c r="CV27" s="250" t="s">
        <v>617</v>
      </c>
      <c r="CW27" s="251">
        <v>1.871</v>
      </c>
      <c r="CX27" s="251">
        <v>1.6539999999999999</v>
      </c>
      <c r="CY27" s="251">
        <v>0.875</v>
      </c>
      <c r="CZ27" s="251">
        <v>0.28299999999999997</v>
      </c>
      <c r="DA27" s="257">
        <v>1</v>
      </c>
      <c r="DB27" s="253">
        <f>((PI()*CY27*CZ27/4)*(CW27^2-CX27^2))*DA27</f>
        <v>0.14876584214512345</v>
      </c>
      <c r="DC27" s="254">
        <f>(((DB27/386.4)*(CW27^2+CX27^2))/8)</f>
        <v>3.0012839706995199E-4</v>
      </c>
      <c r="DD27" s="255">
        <f>IF($DD$37=0,1,$DD$37)</f>
        <v>1</v>
      </c>
      <c r="DE27" s="256">
        <f>(DC27/(DD27^2))</f>
        <v>3.0012839706995199E-4</v>
      </c>
      <c r="DG27" s="345" t="s">
        <v>617</v>
      </c>
      <c r="DH27" s="339">
        <v>1.871</v>
      </c>
      <c r="DI27" s="339">
        <v>1.6539999999999999</v>
      </c>
      <c r="DJ27" s="339">
        <v>0.875</v>
      </c>
      <c r="DK27" s="254">
        <v>0.28299999999999997</v>
      </c>
      <c r="DL27" s="245">
        <v>1</v>
      </c>
      <c r="DM27" s="340">
        <f>((PI()*DJ27*DK27/4)*(DH27^2-DI27^2))*DL27</f>
        <v>0.14876584214512345</v>
      </c>
      <c r="DN27" s="254">
        <f>(((DM27/386.4)*(DH27^2+DI27^2))/8)</f>
        <v>3.0012839706995199E-4</v>
      </c>
      <c r="DO27" s="255">
        <f>IF($DO$37=0,1,$DO$37)</f>
        <v>1</v>
      </c>
      <c r="DP27" s="256">
        <f>(DN27/(DO27^2))</f>
        <v>3.0012839706995199E-4</v>
      </c>
      <c r="DR27" s="250" t="s">
        <v>618</v>
      </c>
      <c r="DS27" s="251">
        <v>2.40625</v>
      </c>
      <c r="DT27" s="251">
        <v>1.5</v>
      </c>
      <c r="DU27" s="251">
        <v>3.125</v>
      </c>
      <c r="DV27" s="251">
        <v>0.28299999999999997</v>
      </c>
      <c r="DW27" s="252">
        <v>1</v>
      </c>
      <c r="DX27" s="340">
        <f>((PI()*DU27*DV27/4)*(DS27^2-DT27^2))*DW27</f>
        <v>2.4588633449565345</v>
      </c>
      <c r="DY27" s="254">
        <f>(((DX27/386.4)*(DS27^2+DT27^2))/8)</f>
        <v>6.3953666352225512E-3</v>
      </c>
      <c r="DZ27" s="341">
        <f>IF($DO$37=0,1,$DO$37)</f>
        <v>1</v>
      </c>
      <c r="EA27" s="256">
        <f>(DY27/(DZ27^2))</f>
        <v>6.3953666352225512E-3</v>
      </c>
      <c r="EC27" s="250" t="s">
        <v>605</v>
      </c>
      <c r="ED27" s="255">
        <v>6.5</v>
      </c>
      <c r="EE27" s="339">
        <v>3</v>
      </c>
      <c r="EF27" s="339">
        <v>2</v>
      </c>
      <c r="EG27" s="251">
        <v>0.28299999999999997</v>
      </c>
      <c r="EH27" s="257">
        <v>1</v>
      </c>
      <c r="EI27" s="435">
        <f>((PI()*EF27*EG27/4)*(ED27^2-EE27^2))*EH27</f>
        <v>14.780800736058277</v>
      </c>
      <c r="EJ27" s="254">
        <f>(((EI27/386.4)*(ED27^2+EE27^2))/8)</f>
        <v>0.24505565402529333</v>
      </c>
      <c r="EK27" s="255">
        <f>IF($EH$39=0,1,$EK$39)</f>
        <v>5</v>
      </c>
      <c r="EL27" s="256">
        <f>(EJ27/(EK27^2))</f>
        <v>9.8022261610117341E-3</v>
      </c>
      <c r="EN27" s="250" t="s">
        <v>605</v>
      </c>
      <c r="EO27" s="255">
        <v>6.5</v>
      </c>
      <c r="EP27" s="339">
        <v>3</v>
      </c>
      <c r="EQ27" s="339">
        <v>2</v>
      </c>
      <c r="ER27" s="251">
        <v>0.28299999999999997</v>
      </c>
      <c r="ES27" s="257">
        <v>1</v>
      </c>
      <c r="ET27" s="435">
        <f>((PI()*EQ27*ER27/4)*(EO27^2-EP27^2))*ES27</f>
        <v>14.780800736058277</v>
      </c>
      <c r="EU27" s="254">
        <f>(((ET27/386.4)*(EO27^2+EP27^2))/8)</f>
        <v>0.24505565402529333</v>
      </c>
      <c r="EV27" s="255">
        <f>IF($ES$39=0,1,$EV$39)</f>
        <v>5</v>
      </c>
      <c r="EW27" s="256">
        <f>(EU27/(EV27^2))</f>
        <v>9.8022261610117341E-3</v>
      </c>
      <c r="EY27" s="250" t="s">
        <v>605</v>
      </c>
      <c r="EZ27" s="255">
        <v>6.32</v>
      </c>
      <c r="FA27" s="339">
        <v>3</v>
      </c>
      <c r="FB27" s="339">
        <v>2</v>
      </c>
      <c r="FC27" s="254">
        <v>0.28299999999999997</v>
      </c>
      <c r="FD27" s="257">
        <v>1</v>
      </c>
      <c r="FE27" s="435">
        <f>((PI()*FB27*FC27/4)*(EZ27^2-FA27^2))*FD27</f>
        <v>13.754990938207809</v>
      </c>
      <c r="FF27" s="254">
        <f>(((FE27/386.4)*(EZ27^2+FA27^2))/8)</f>
        <v>0.21778023696109669</v>
      </c>
      <c r="FG27" s="255">
        <f>IF(FD39=0,1,FG39)</f>
        <v>5</v>
      </c>
      <c r="FH27" s="256">
        <f>(FF27/(FG27^2))</f>
        <v>8.7112094784438671E-3</v>
      </c>
      <c r="FJ27" s="250" t="s">
        <v>605</v>
      </c>
      <c r="FK27" s="255">
        <v>6.32</v>
      </c>
      <c r="FL27" s="339">
        <v>3</v>
      </c>
      <c r="FM27" s="339">
        <v>2</v>
      </c>
      <c r="FN27" s="254">
        <v>0.28299999999999997</v>
      </c>
      <c r="FO27" s="257">
        <v>1</v>
      </c>
      <c r="FP27" s="435">
        <f>((PI()*FM27*FN27/4)*(FK27^2-FL27^2))*FO27</f>
        <v>13.754990938207809</v>
      </c>
      <c r="FQ27" s="254">
        <f>(((FP27/386.4)*(FK27^2+FL27^2))/8)</f>
        <v>0.21778023696109669</v>
      </c>
      <c r="FR27" s="255">
        <f>IF(FO39=0,1,FR39)</f>
        <v>5</v>
      </c>
      <c r="FS27" s="256">
        <f>(FQ27/(FR27^2))</f>
        <v>8.7112094784438671E-3</v>
      </c>
      <c r="FU27" s="345"/>
      <c r="FV27" s="380"/>
      <c r="FW27" s="380"/>
      <c r="FX27" s="380"/>
      <c r="FY27" s="251"/>
      <c r="FZ27" s="252"/>
      <c r="GA27" s="340"/>
      <c r="GB27" s="254"/>
      <c r="GC27" s="341"/>
      <c r="GD27" s="256"/>
    </row>
    <row r="28" spans="1:186" ht="15.75" x14ac:dyDescent="0.25">
      <c r="A28" s="248"/>
      <c r="B28" s="245"/>
      <c r="C28" s="245"/>
      <c r="D28" s="245"/>
      <c r="E28" s="245"/>
      <c r="F28" s="245"/>
      <c r="G28" s="245"/>
      <c r="H28" s="245"/>
      <c r="I28" s="245"/>
      <c r="J28" s="245"/>
      <c r="L28" s="248"/>
      <c r="M28" s="245"/>
      <c r="N28" s="245"/>
      <c r="O28" s="245"/>
      <c r="P28" s="245"/>
      <c r="Q28" s="245"/>
      <c r="R28" s="245"/>
      <c r="S28" s="245"/>
      <c r="T28" s="245"/>
      <c r="U28" s="245"/>
      <c r="W28" s="248"/>
      <c r="X28" s="245"/>
      <c r="Y28" s="245"/>
      <c r="Z28" s="245"/>
      <c r="AA28" s="245"/>
      <c r="AB28" s="245"/>
      <c r="AC28" s="245"/>
      <c r="AD28" s="245"/>
      <c r="AE28" s="245"/>
      <c r="AF28" s="245"/>
      <c r="AH28" s="248"/>
      <c r="AI28" s="245"/>
      <c r="AJ28" s="245"/>
      <c r="AK28" s="245"/>
      <c r="AL28" s="245"/>
      <c r="AM28" s="245"/>
      <c r="AN28" s="245"/>
      <c r="AO28" s="245"/>
      <c r="AP28" s="245"/>
      <c r="AQ28" s="245"/>
      <c r="AS28" s="250" t="s">
        <v>616</v>
      </c>
      <c r="AT28" s="251">
        <v>1.625</v>
      </c>
      <c r="AU28" s="251">
        <v>0.94399999999999995</v>
      </c>
      <c r="AV28" s="251">
        <v>1</v>
      </c>
      <c r="AW28" s="251">
        <v>0.28299999999999997</v>
      </c>
      <c r="AX28" s="257">
        <v>1</v>
      </c>
      <c r="AY28" s="253">
        <f>((PI()*AV28*AW28/4)*(AT28^2-AU28^2))*AX28</f>
        <v>0.38885486163798283</v>
      </c>
      <c r="AZ28" s="254">
        <f>(((AY28/386.4)*(AT28^2+AU28^2))/8)</f>
        <v>4.4427485604083336E-4</v>
      </c>
      <c r="BA28" s="251">
        <f>IF(BA36=0,1,BA36)</f>
        <v>1</v>
      </c>
      <c r="BB28" s="256">
        <f>(AZ28/(BA28^2))</f>
        <v>4.4427485604083336E-4</v>
      </c>
      <c r="BD28" s="250" t="s">
        <v>616</v>
      </c>
      <c r="BE28" s="251">
        <v>1.625</v>
      </c>
      <c r="BF28" s="251">
        <v>0.94399999999999995</v>
      </c>
      <c r="BG28" s="251">
        <v>1</v>
      </c>
      <c r="BH28" s="251">
        <v>0.28299999999999997</v>
      </c>
      <c r="BI28" s="257">
        <v>1</v>
      </c>
      <c r="BJ28" s="253">
        <f>((PI()*BG28*BH28/4)*(BE28^2-BF28^2))*BI28</f>
        <v>0.38885486163798283</v>
      </c>
      <c r="BK28" s="254">
        <f>(((BJ28/386.4)*(BE28^2+BF28^2))/8)</f>
        <v>4.4427485604083336E-4</v>
      </c>
      <c r="BL28" s="251">
        <f>IF(BL36=0,1,BL36)</f>
        <v>1</v>
      </c>
      <c r="BM28" s="256">
        <f>(BK28/(BL28^2))</f>
        <v>4.4427485604083336E-4</v>
      </c>
      <c r="BO28" s="250" t="s">
        <v>617</v>
      </c>
      <c r="BP28" s="251">
        <v>1.625</v>
      </c>
      <c r="BQ28" s="251">
        <v>0.94399999999999995</v>
      </c>
      <c r="BR28" s="251">
        <v>1</v>
      </c>
      <c r="BS28" s="251">
        <v>0.28299999999999997</v>
      </c>
      <c r="BT28" s="257">
        <v>1</v>
      </c>
      <c r="BU28" s="253">
        <f>((PI()*BR28*BS28/4)*(BP28^2-BQ28^2))*BT28</f>
        <v>0.38885486163798283</v>
      </c>
      <c r="BV28" s="254">
        <f>(((BU28/386.4)*(BP28^2+BQ28^2))/8)</f>
        <v>4.4427485604083336E-4</v>
      </c>
      <c r="BW28" s="255">
        <f>IF(BW37=0,1,BW37)</f>
        <v>1</v>
      </c>
      <c r="BX28" s="256">
        <f>(BV28/(BW28^2))</f>
        <v>4.4427485604083336E-4</v>
      </c>
      <c r="BZ28" s="250" t="s">
        <v>617</v>
      </c>
      <c r="CA28" s="251">
        <v>1.871</v>
      </c>
      <c r="CB28" s="251">
        <v>1.6539999999999999</v>
      </c>
      <c r="CC28" s="251">
        <v>0.875</v>
      </c>
      <c r="CD28" s="251">
        <v>0.28299999999999997</v>
      </c>
      <c r="CE28" s="257">
        <v>1</v>
      </c>
      <c r="CF28" s="253">
        <f>((PI()*CC28*CD28/4)*(CA28^2-CB28^2))*CE28</f>
        <v>0.14876584214512345</v>
      </c>
      <c r="CG28" s="254">
        <f>(((CF28/386.4)*(CA28^2+CB28^2))/8)</f>
        <v>3.0012839706995199E-4</v>
      </c>
      <c r="CH28" s="255">
        <f>IF(CH36=0,1,CH36)</f>
        <v>1</v>
      </c>
      <c r="CI28" s="256">
        <f>(CG28/(CH28^2))</f>
        <v>3.0012839706995199E-4</v>
      </c>
      <c r="CK28" s="250" t="s">
        <v>617</v>
      </c>
      <c r="CL28" s="251">
        <v>1.871</v>
      </c>
      <c r="CM28" s="251">
        <v>1.6539999999999999</v>
      </c>
      <c r="CN28" s="251">
        <v>0.875</v>
      </c>
      <c r="CO28" s="251">
        <v>0.28299999999999997</v>
      </c>
      <c r="CP28" s="257">
        <v>1</v>
      </c>
      <c r="CQ28" s="253">
        <f>((PI()*CN28*CO28/4)*(CL28^2-CM28^2))*CP28</f>
        <v>0.14876584214512345</v>
      </c>
      <c r="CR28" s="254">
        <f>(((CQ28/386.4)*(CL28^2+CM28^2))/8)</f>
        <v>3.0012839706995199E-4</v>
      </c>
      <c r="CS28" s="255">
        <f>IF($CS$36=0,1,$CS$36)</f>
        <v>1</v>
      </c>
      <c r="CT28" s="256">
        <f>(CR28/(CS28^2))</f>
        <v>3.0012839706995199E-4</v>
      </c>
      <c r="CV28" s="345"/>
      <c r="CW28" s="255"/>
      <c r="CX28" s="339"/>
      <c r="CY28" s="339"/>
      <c r="CZ28" s="251"/>
      <c r="DA28" s="257"/>
      <c r="DB28" s="253"/>
      <c r="DC28" s="254"/>
      <c r="DD28" s="255"/>
      <c r="DE28" s="256"/>
      <c r="DG28" s="250"/>
      <c r="DH28" s="339"/>
      <c r="DI28" s="339"/>
      <c r="DJ28" s="339"/>
      <c r="DK28" s="254"/>
      <c r="DL28" s="257"/>
      <c r="DM28" s="340"/>
      <c r="DN28" s="254"/>
      <c r="DO28" s="255"/>
      <c r="DP28" s="256"/>
      <c r="DR28" s="345"/>
      <c r="DS28" s="258"/>
      <c r="DT28" s="258"/>
      <c r="DU28" s="258"/>
      <c r="DV28" s="245"/>
      <c r="DW28" s="245"/>
      <c r="DX28" s="340"/>
      <c r="DY28" s="254"/>
      <c r="DZ28" s="341"/>
      <c r="EA28" s="256"/>
      <c r="EC28" s="345" t="s">
        <v>805</v>
      </c>
      <c r="ED28" s="255">
        <v>3</v>
      </c>
      <c r="EE28" s="339">
        <v>1.5740000000000001</v>
      </c>
      <c r="EF28" s="339">
        <v>2</v>
      </c>
      <c r="EG28" s="251">
        <v>0.28299999999999997</v>
      </c>
      <c r="EH28" s="257">
        <v>1</v>
      </c>
      <c r="EI28" s="435">
        <f>((PI()*EF28*EG28/4)*(ED28^2-EE28^2))*EH28</f>
        <v>2.8994925575987298</v>
      </c>
      <c r="EJ28" s="254">
        <f>(((EI28/386.4)*(ED28^2+EE28^2))/8)</f>
        <v>1.0765675544131095E-2</v>
      </c>
      <c r="EK28" s="255">
        <f>IF($EH$39=0,1,$EK$39)</f>
        <v>5</v>
      </c>
      <c r="EL28" s="256">
        <f>(EJ28/(EK28^2))</f>
        <v>4.3062702176524379E-4</v>
      </c>
      <c r="EN28" s="345" t="s">
        <v>805</v>
      </c>
      <c r="EO28" s="255">
        <v>3</v>
      </c>
      <c r="EP28" s="339">
        <v>1.5740000000000001</v>
      </c>
      <c r="EQ28" s="339">
        <v>2</v>
      </c>
      <c r="ER28" s="251">
        <v>0.28299999999999997</v>
      </c>
      <c r="ES28" s="257">
        <v>1</v>
      </c>
      <c r="ET28" s="435">
        <f>((PI()*EQ28*ER28/4)*(EO28^2-EP28^2))*ES28</f>
        <v>2.8994925575987298</v>
      </c>
      <c r="EU28" s="254">
        <f>(((ET28/386.4)*(EO28^2+EP28^2))/8)</f>
        <v>1.0765675544131095E-2</v>
      </c>
      <c r="EV28" s="255">
        <f>IF($ES$39=0,1,$EV$39)</f>
        <v>5</v>
      </c>
      <c r="EW28" s="256">
        <f>(EU28/(EV28^2))</f>
        <v>4.3062702176524379E-4</v>
      </c>
      <c r="EY28" s="345" t="s">
        <v>805</v>
      </c>
      <c r="EZ28" s="255">
        <v>3</v>
      </c>
      <c r="FA28" s="339">
        <v>1.5740000000000001</v>
      </c>
      <c r="FB28" s="339">
        <v>2</v>
      </c>
      <c r="FC28" s="254">
        <v>0.28299999999999997</v>
      </c>
      <c r="FD28" s="257">
        <v>1</v>
      </c>
      <c r="FE28" s="435">
        <f>((PI()*FB28*FC28/4)*(EZ28^2-FA28^2))*FD28</f>
        <v>2.8994925575987298</v>
      </c>
      <c r="FF28" s="254">
        <f>(((FE28/386.4)*(EZ28^2+FA28^2))/8)</f>
        <v>1.0765675544131095E-2</v>
      </c>
      <c r="FG28" s="255">
        <f>IF(FD39=0,1,FG39)</f>
        <v>5</v>
      </c>
      <c r="FH28" s="256">
        <f>(FF28/(FG28^2))</f>
        <v>4.3062702176524379E-4</v>
      </c>
      <c r="FJ28" s="345" t="s">
        <v>805</v>
      </c>
      <c r="FK28" s="255">
        <v>3</v>
      </c>
      <c r="FL28" s="339">
        <v>1.5740000000000001</v>
      </c>
      <c r="FM28" s="339">
        <v>2</v>
      </c>
      <c r="FN28" s="254">
        <v>0.28299999999999997</v>
      </c>
      <c r="FO28" s="257">
        <v>1</v>
      </c>
      <c r="FP28" s="435">
        <f>((PI()*FM28*FN28/4)*(FK28^2-FL28^2))*FO28</f>
        <v>2.8994925575987298</v>
      </c>
      <c r="FQ28" s="254">
        <f>(((FP28/386.4)*(FK28^2+FL28^2))/8)</f>
        <v>1.0765675544131095E-2</v>
      </c>
      <c r="FR28" s="255">
        <f>IF(FO39=0,1,FR39)</f>
        <v>5</v>
      </c>
      <c r="FS28" s="256">
        <f>(FQ28/(FR28^2))</f>
        <v>4.3062702176524379E-4</v>
      </c>
      <c r="FU28" s="345"/>
      <c r="FV28" s="379"/>
      <c r="FW28" s="379"/>
      <c r="FX28" s="380"/>
    </row>
    <row r="29" spans="1:186" ht="15.75" x14ac:dyDescent="0.25">
      <c r="A29" s="248"/>
      <c r="B29" s="338" t="s">
        <v>619</v>
      </c>
      <c r="C29" s="338" t="s">
        <v>620</v>
      </c>
      <c r="D29" s="338"/>
      <c r="E29" s="338" t="s">
        <v>621</v>
      </c>
      <c r="F29" s="338"/>
      <c r="G29" s="245"/>
      <c r="H29" s="338" t="s">
        <v>576</v>
      </c>
      <c r="I29" s="338" t="s">
        <v>103</v>
      </c>
      <c r="J29" s="338" t="s">
        <v>577</v>
      </c>
      <c r="L29" s="248"/>
      <c r="M29" s="338" t="s">
        <v>619</v>
      </c>
      <c r="N29" s="338" t="s">
        <v>620</v>
      </c>
      <c r="O29" s="338"/>
      <c r="P29" s="338" t="s">
        <v>621</v>
      </c>
      <c r="Q29" s="338"/>
      <c r="R29" s="245"/>
      <c r="S29" s="338" t="s">
        <v>576</v>
      </c>
      <c r="T29" s="338" t="s">
        <v>103</v>
      </c>
      <c r="U29" s="338" t="s">
        <v>577</v>
      </c>
      <c r="W29" s="248"/>
      <c r="X29" s="338" t="s">
        <v>619</v>
      </c>
      <c r="Y29" s="338" t="s">
        <v>620</v>
      </c>
      <c r="Z29" s="338"/>
      <c r="AA29" s="338" t="s">
        <v>621</v>
      </c>
      <c r="AB29" s="338"/>
      <c r="AC29" s="245"/>
      <c r="AD29" s="338" t="s">
        <v>576</v>
      </c>
      <c r="AE29" s="338" t="s">
        <v>103</v>
      </c>
      <c r="AF29" s="338" t="s">
        <v>577</v>
      </c>
      <c r="AH29" s="248"/>
      <c r="AI29" s="338" t="s">
        <v>619</v>
      </c>
      <c r="AJ29" s="338" t="s">
        <v>620</v>
      </c>
      <c r="AK29" s="338"/>
      <c r="AL29" s="338" t="s">
        <v>621</v>
      </c>
      <c r="AM29" s="338"/>
      <c r="AN29" s="245"/>
      <c r="AO29" s="338" t="s">
        <v>576</v>
      </c>
      <c r="AP29" s="338" t="s">
        <v>103</v>
      </c>
      <c r="AQ29" s="338" t="s">
        <v>577</v>
      </c>
      <c r="AS29" s="248"/>
      <c r="AT29" s="258"/>
      <c r="AU29" s="258"/>
      <c r="AV29" s="258"/>
      <c r="AW29" s="258"/>
      <c r="AX29" s="258"/>
      <c r="AY29" s="253"/>
      <c r="AZ29" s="254"/>
      <c r="BA29" s="251"/>
      <c r="BB29" s="256"/>
      <c r="BD29" s="248"/>
      <c r="BE29" s="258"/>
      <c r="BF29" s="258"/>
      <c r="BG29" s="258"/>
      <c r="BH29" s="258"/>
      <c r="BI29" s="258"/>
      <c r="BJ29" s="258"/>
      <c r="BK29" s="258"/>
      <c r="BL29" s="258"/>
      <c r="BM29" s="258"/>
      <c r="BO29" s="248"/>
      <c r="BP29" s="258"/>
      <c r="BQ29" s="258"/>
      <c r="BR29" s="258"/>
      <c r="BS29" s="258"/>
      <c r="BT29" s="258"/>
      <c r="BU29" s="258"/>
      <c r="BV29" s="258"/>
      <c r="BW29" s="258"/>
      <c r="BX29" s="258"/>
      <c r="BZ29" s="248"/>
      <c r="CA29" s="258"/>
      <c r="CB29" s="258"/>
      <c r="CC29" s="258"/>
      <c r="CD29" s="258"/>
      <c r="CE29" s="258"/>
      <c r="CF29" s="258"/>
      <c r="CG29" s="258"/>
      <c r="CH29" s="258"/>
      <c r="CI29" s="258"/>
      <c r="CK29" s="250"/>
      <c r="CL29" s="251"/>
      <c r="CM29" s="251"/>
      <c r="CN29" s="251"/>
      <c r="CO29" s="251"/>
      <c r="CP29" s="245"/>
      <c r="CQ29" s="253"/>
      <c r="CR29" s="254"/>
      <c r="CS29" s="245"/>
      <c r="CT29" s="245"/>
      <c r="CV29" s="250"/>
      <c r="CW29" s="255"/>
      <c r="CX29" s="339"/>
      <c r="CY29" s="339"/>
      <c r="CZ29" s="251"/>
      <c r="DA29" s="257"/>
      <c r="DB29" s="253"/>
      <c r="DC29" s="254"/>
      <c r="DD29" s="255"/>
      <c r="DE29" s="256"/>
      <c r="DG29" s="345"/>
      <c r="DH29" s="339"/>
      <c r="DI29" s="339"/>
      <c r="DJ29" s="339"/>
      <c r="DK29" s="254"/>
      <c r="DL29" s="257"/>
      <c r="DM29" s="340"/>
      <c r="DN29" s="254"/>
      <c r="DO29" s="255"/>
      <c r="DP29" s="256"/>
      <c r="DR29" s="250"/>
      <c r="DS29" s="341"/>
      <c r="DT29" s="341"/>
      <c r="DU29" s="258"/>
      <c r="DV29" s="251"/>
      <c r="DW29" s="257"/>
      <c r="DX29" s="340"/>
      <c r="DY29" s="254"/>
      <c r="DZ29" s="341"/>
      <c r="EA29" s="256"/>
      <c r="EC29" s="250" t="s">
        <v>804</v>
      </c>
      <c r="ED29" s="255"/>
      <c r="EE29" s="339"/>
      <c r="EF29" s="339"/>
      <c r="EG29" s="251"/>
      <c r="EH29" s="257"/>
      <c r="EI29" s="435"/>
      <c r="EJ29" s="254"/>
      <c r="EK29" s="255"/>
      <c r="EL29" s="256"/>
      <c r="EN29" s="250" t="s">
        <v>804</v>
      </c>
      <c r="EO29" s="255"/>
      <c r="EP29" s="339"/>
      <c r="EQ29" s="339"/>
      <c r="ER29" s="251"/>
      <c r="ES29" s="257"/>
      <c r="ET29" s="435"/>
      <c r="EU29" s="254"/>
      <c r="EV29" s="255"/>
      <c r="EW29" s="256"/>
      <c r="EY29" s="250" t="s">
        <v>804</v>
      </c>
      <c r="EZ29" s="339"/>
      <c r="FA29" s="339"/>
      <c r="FB29" s="339"/>
      <c r="FC29" s="254"/>
      <c r="FD29" s="257"/>
      <c r="FE29" s="435"/>
      <c r="FF29" s="254"/>
      <c r="FG29" s="255"/>
      <c r="FH29" s="256"/>
      <c r="FJ29" s="250" t="s">
        <v>804</v>
      </c>
      <c r="FK29" s="339"/>
      <c r="FL29" s="339"/>
      <c r="FM29" s="339"/>
      <c r="FN29" s="254"/>
      <c r="FO29" s="257"/>
      <c r="FP29" s="435"/>
      <c r="FQ29" s="254"/>
      <c r="FR29" s="255"/>
      <c r="FS29" s="256"/>
      <c r="FU29" s="250" t="s">
        <v>605</v>
      </c>
      <c r="FV29" s="378">
        <v>6.32</v>
      </c>
      <c r="FW29" s="378">
        <v>3</v>
      </c>
      <c r="FX29" s="380">
        <v>3.31</v>
      </c>
      <c r="FY29" s="251">
        <v>0.28299999999999997</v>
      </c>
      <c r="FZ29" s="252">
        <v>1</v>
      </c>
      <c r="GA29" s="340">
        <f>((PI()*FX29*FY29/4)*(FV29^2-FW29^2))*FZ29</f>
        <v>22.764510002733928</v>
      </c>
      <c r="GB29" s="254">
        <f>(((GA29/386.4)*(FV29^2+FW29^2))/8)</f>
        <v>0.360426292170615</v>
      </c>
      <c r="GC29" s="341">
        <f>IF($EV$39=0,1,$EV$39)</f>
        <v>5</v>
      </c>
      <c r="GD29" s="256">
        <f>(GB29/(GC29^2))</f>
        <v>1.4417051686824601E-2</v>
      </c>
    </row>
    <row r="30" spans="1:186" ht="15.75" x14ac:dyDescent="0.25">
      <c r="A30" s="248"/>
      <c r="B30" s="338"/>
      <c r="C30" s="338"/>
      <c r="D30" s="338"/>
      <c r="E30" s="338"/>
      <c r="F30" s="338"/>
      <c r="G30" s="245"/>
      <c r="H30" s="338"/>
      <c r="I30" s="338"/>
      <c r="J30" s="338"/>
      <c r="L30" s="248"/>
      <c r="M30" s="338"/>
      <c r="N30" s="338"/>
      <c r="O30" s="338"/>
      <c r="P30" s="338"/>
      <c r="Q30" s="338"/>
      <c r="R30" s="245"/>
      <c r="S30" s="338"/>
      <c r="T30" s="338"/>
      <c r="U30" s="338"/>
      <c r="W30" s="248"/>
      <c r="X30" s="338"/>
      <c r="Y30" s="338"/>
      <c r="Z30" s="338"/>
      <c r="AA30" s="338"/>
      <c r="AB30" s="338"/>
      <c r="AC30" s="245"/>
      <c r="AD30" s="338"/>
      <c r="AE30" s="338"/>
      <c r="AF30" s="338"/>
      <c r="AH30" s="248"/>
      <c r="AI30" s="338"/>
      <c r="AJ30" s="338"/>
      <c r="AK30" s="338"/>
      <c r="AL30" s="338"/>
      <c r="AM30" s="338"/>
      <c r="AN30" s="245"/>
      <c r="AO30" s="338"/>
      <c r="AP30" s="338"/>
      <c r="AQ30" s="338"/>
      <c r="AS30" s="248"/>
      <c r="AT30" s="245"/>
      <c r="AU30" s="245"/>
      <c r="AV30" s="245"/>
      <c r="AW30" s="245"/>
      <c r="AX30" s="245"/>
      <c r="AY30" s="253"/>
      <c r="AZ30" s="254"/>
      <c r="BA30" s="251"/>
      <c r="BB30" s="256"/>
      <c r="BD30" s="248"/>
      <c r="BE30" s="245"/>
      <c r="BF30" s="245"/>
      <c r="BG30" s="245"/>
      <c r="BH30" s="245"/>
      <c r="BI30" s="245"/>
      <c r="BJ30" s="245"/>
      <c r="BK30" s="245"/>
      <c r="BL30" s="245"/>
      <c r="BM30" s="245"/>
      <c r="BO30" s="248"/>
      <c r="BP30" s="245"/>
      <c r="BQ30" s="245"/>
      <c r="BR30" s="245"/>
      <c r="BS30" s="245"/>
      <c r="BT30" s="245"/>
      <c r="BU30" s="245"/>
      <c r="BV30" s="245"/>
      <c r="BW30" s="245"/>
      <c r="BX30" s="245"/>
      <c r="BZ30" s="248"/>
      <c r="CA30" s="245"/>
      <c r="CB30" s="245"/>
      <c r="CC30" s="245"/>
      <c r="CD30" s="245"/>
      <c r="CE30" s="245"/>
      <c r="CF30" s="245"/>
      <c r="CG30" s="245"/>
      <c r="CH30" s="245"/>
      <c r="CI30" s="245"/>
      <c r="CK30" s="248"/>
      <c r="CL30" s="245"/>
      <c r="CM30" s="245"/>
      <c r="CN30" s="245"/>
      <c r="CO30" s="245"/>
      <c r="CP30" s="245"/>
      <c r="CQ30" s="245"/>
      <c r="CR30" s="245"/>
      <c r="CS30" s="245"/>
      <c r="CT30" s="245"/>
      <c r="CV30" s="250" t="s">
        <v>665</v>
      </c>
      <c r="CW30" s="255">
        <v>2.25</v>
      </c>
      <c r="CX30" s="255">
        <v>2</v>
      </c>
      <c r="CY30" s="257">
        <f ca="1">VALUE(Width)+1.625</f>
        <v>1.625</v>
      </c>
      <c r="CZ30" s="251">
        <v>0.28299999999999997</v>
      </c>
      <c r="DA30" s="381">
        <v>5</v>
      </c>
      <c r="DB30" s="253">
        <f ca="1">((PI()*CY30*CZ30/4)*(CW30^2-CX30^2))*DA30</f>
        <v>1.9187952083346334</v>
      </c>
      <c r="DC30" s="254">
        <f ca="1">(((DB30/386.4)*(CW30^2+CX30^2))/8)</f>
        <v>5.6253498885651581E-3</v>
      </c>
      <c r="DD30" s="255">
        <f>IF($DD$37=0,1,$DD$37)</f>
        <v>1</v>
      </c>
      <c r="DE30" s="256">
        <f ca="1">(DC30/(DD30^2))</f>
        <v>5.6253498885651581E-3</v>
      </c>
      <c r="DG30" s="250" t="s">
        <v>665</v>
      </c>
      <c r="DH30" s="339">
        <v>3</v>
      </c>
      <c r="DI30" s="339">
        <v>2</v>
      </c>
      <c r="DJ30" s="339">
        <f ca="1">VALUE(Width)+1.625</f>
        <v>1.625</v>
      </c>
      <c r="DK30" s="254">
        <v>0.28299999999999997</v>
      </c>
      <c r="DL30" s="257">
        <f ca="1">S_Roll</f>
        <v>5</v>
      </c>
      <c r="DM30" s="340">
        <f ca="1">((PI()*DJ30*DK30/4)*(DH30^2-DI30^2))*DL30</f>
        <v>9.0296245098100396</v>
      </c>
      <c r="DN30" s="254">
        <f ca="1">(((DM30/386.4)*(DH30^2+DI30^2))/8)</f>
        <v>3.7973964359320177E-2</v>
      </c>
      <c r="DO30" s="255" t="e">
        <f ca="1">(DH30/DH6)*Ratio</f>
        <v>#N/A</v>
      </c>
      <c r="DP30" s="256" t="e">
        <f ca="1">(DN30/(DO30^2))</f>
        <v>#N/A</v>
      </c>
      <c r="DR30" s="345" t="s">
        <v>665</v>
      </c>
      <c r="DS30" s="341">
        <v>3.5</v>
      </c>
      <c r="DT30" s="341">
        <v>2.25</v>
      </c>
      <c r="DU30" s="258">
        <f ca="1">VALUE(Width)+1.625</f>
        <v>1.625</v>
      </c>
      <c r="DV30" s="251">
        <v>0.28299999999999997</v>
      </c>
      <c r="DW30" s="257">
        <v>6</v>
      </c>
      <c r="DX30" s="340">
        <f ca="1">((PI()*DU30*DV30/4)*(DS30^2-DT30^2))*DW30</f>
        <v>15.576102279422315</v>
      </c>
      <c r="DY30" s="254">
        <f ca="1">(((DX30/386.4)*(DS30^2+DT30^2))/8)</f>
        <v>8.7235141923039217E-2</v>
      </c>
      <c r="DZ30" s="341" t="e">
        <f ca="1">(DS30/DS6)*Ratio</f>
        <v>#N/A</v>
      </c>
      <c r="EA30" s="256" t="e">
        <f ca="1">(DY30/(DZ30^2))</f>
        <v>#N/A</v>
      </c>
      <c r="EC30" s="250"/>
      <c r="ED30" s="255"/>
      <c r="EE30" s="339"/>
      <c r="EF30" s="339"/>
      <c r="EG30" s="251"/>
      <c r="EH30" s="257"/>
      <c r="EI30" s="435"/>
      <c r="EJ30" s="254"/>
      <c r="EK30" s="255"/>
      <c r="EL30" s="256"/>
      <c r="EN30" s="250"/>
      <c r="EO30" s="255"/>
      <c r="EP30" s="339"/>
      <c r="EQ30" s="339"/>
      <c r="ER30" s="251"/>
      <c r="ES30" s="257"/>
      <c r="ET30" s="435"/>
      <c r="EU30" s="254"/>
      <c r="EV30" s="255"/>
      <c r="EW30" s="256"/>
      <c r="EY30" s="250"/>
      <c r="EZ30" s="339"/>
      <c r="FA30" s="339"/>
      <c r="FB30" s="339"/>
      <c r="FC30" s="251"/>
      <c r="FD30" s="252"/>
      <c r="FE30" s="340"/>
      <c r="FF30" s="254"/>
      <c r="FG30" s="341"/>
      <c r="FH30" s="256"/>
      <c r="FJ30" s="250"/>
      <c r="FK30" s="339"/>
      <c r="FL30" s="339"/>
      <c r="FM30" s="339"/>
      <c r="FN30" s="251"/>
      <c r="FO30" s="252"/>
      <c r="FP30" s="340"/>
      <c r="FQ30" s="254"/>
      <c r="FR30" s="341"/>
      <c r="FS30" s="256"/>
      <c r="FU30" s="345" t="s">
        <v>815</v>
      </c>
      <c r="FV30" s="378">
        <v>3</v>
      </c>
      <c r="FW30" s="378">
        <v>1.57</v>
      </c>
      <c r="FX30" s="380">
        <v>3.47</v>
      </c>
      <c r="FY30" s="251">
        <v>0.28299999999999997</v>
      </c>
      <c r="FZ30" s="252">
        <v>1</v>
      </c>
      <c r="GA30" s="340">
        <f>((PI()*FX30*FY30/4)*(FV30^2-FW30^2))*FZ30</f>
        <v>5.040319064496904</v>
      </c>
      <c r="GB30" s="254">
        <f>(((GA30/386.4)*(FV30^2+FW30^2))/8)</f>
        <v>1.8693955112108748E-2</v>
      </c>
      <c r="GC30" s="341">
        <f>IF($EV$39=0,1,$EV$39)</f>
        <v>5</v>
      </c>
      <c r="GD30" s="256">
        <f>(GB30/(GC30^2))</f>
        <v>7.4775820448434987E-4</v>
      </c>
    </row>
    <row r="31" spans="1:186" ht="15.75" x14ac:dyDescent="0.25">
      <c r="A31" s="248"/>
      <c r="B31" s="338"/>
      <c r="C31" s="338"/>
      <c r="D31" s="338"/>
      <c r="E31" s="338"/>
      <c r="F31" s="338"/>
      <c r="G31" s="245"/>
      <c r="H31" s="338"/>
      <c r="I31" s="338"/>
      <c r="J31" s="338"/>
      <c r="L31" s="248"/>
      <c r="M31" s="338"/>
      <c r="N31" s="338"/>
      <c r="O31" s="338"/>
      <c r="P31" s="338"/>
      <c r="Q31" s="338"/>
      <c r="R31" s="245"/>
      <c r="S31" s="338"/>
      <c r="T31" s="338"/>
      <c r="U31" s="338"/>
      <c r="W31" s="248"/>
      <c r="X31" s="338"/>
      <c r="Y31" s="338"/>
      <c r="Z31" s="338"/>
      <c r="AA31" s="338"/>
      <c r="AB31" s="338"/>
      <c r="AC31" s="245"/>
      <c r="AD31" s="338"/>
      <c r="AE31" s="338"/>
      <c r="AF31" s="338"/>
      <c r="AH31" s="248"/>
      <c r="AI31" s="338"/>
      <c r="AJ31" s="338"/>
      <c r="AK31" s="338"/>
      <c r="AL31" s="338"/>
      <c r="AM31" s="338"/>
      <c r="AN31" s="245"/>
      <c r="AO31" s="338"/>
      <c r="AP31" s="338"/>
      <c r="AQ31" s="338"/>
      <c r="AS31" s="250" t="s">
        <v>665</v>
      </c>
      <c r="AT31" s="257">
        <v>2.25</v>
      </c>
      <c r="AU31" s="257">
        <v>1.605</v>
      </c>
      <c r="AV31" s="257">
        <f ca="1">VALUE(Width)+1.75</f>
        <v>1.75</v>
      </c>
      <c r="AW31" s="257">
        <v>0.28299999999999997</v>
      </c>
      <c r="AX31" s="381">
        <f ca="1">S_Roll</f>
        <v>5</v>
      </c>
      <c r="AY31" s="253">
        <f ca="1">((PI()*AV31*AW31/4)*(AT31^2-AU31^2))*AX31</f>
        <v>4.8358015144987503</v>
      </c>
      <c r="AZ31" s="254">
        <f ca="1">(((AY31/386.4)*(AT31^2+AU31^2))/8)</f>
        <v>1.1949531173504323E-2</v>
      </c>
      <c r="BA31" s="251" t="e">
        <f ca="1">(AT31/AT7)*Ratio</f>
        <v>#N/A</v>
      </c>
      <c r="BB31" s="256" t="e">
        <f ca="1">(AZ31/(BA31^2))</f>
        <v>#N/A</v>
      </c>
      <c r="BD31" s="250" t="s">
        <v>665</v>
      </c>
      <c r="BE31" s="257">
        <v>2.25</v>
      </c>
      <c r="BF31" s="257">
        <v>1.605</v>
      </c>
      <c r="BG31" s="257">
        <f ca="1">VALUE(Width)+1.75</f>
        <v>1.75</v>
      </c>
      <c r="BH31" s="257">
        <v>0.28299999999999997</v>
      </c>
      <c r="BI31" s="381">
        <f ca="1">S_Roll</f>
        <v>5</v>
      </c>
      <c r="BJ31" s="253">
        <f ca="1">((PI()*BG31*BH31/4)*(BE31^2-BF31^2))*BI31</f>
        <v>4.8358015144987503</v>
      </c>
      <c r="BK31" s="254">
        <f ca="1">(((BJ31/386.4)*(BE31^2+BF31^2))/8)</f>
        <v>1.1949531173504323E-2</v>
      </c>
      <c r="BL31" s="251" t="e">
        <f ca="1">(BE31/BE7)*Ratio</f>
        <v>#N/A</v>
      </c>
      <c r="BM31" s="256" t="e">
        <f ca="1">(BK31/(BL31^2))</f>
        <v>#N/A</v>
      </c>
      <c r="BO31" s="250" t="s">
        <v>665</v>
      </c>
      <c r="BP31" s="257">
        <v>2.25</v>
      </c>
      <c r="BQ31" s="257">
        <v>1.605</v>
      </c>
      <c r="BR31" s="257">
        <f ca="1">VALUE(Width)+1.75</f>
        <v>1.75</v>
      </c>
      <c r="BS31" s="257">
        <v>0.28299999999999997</v>
      </c>
      <c r="BT31" s="381">
        <f ca="1">S_Roll</f>
        <v>5</v>
      </c>
      <c r="BU31" s="253">
        <f ca="1">((PI()*BR31*BS31/4)*(BP31^2-BQ31^2))*BT31</f>
        <v>4.8358015144987503</v>
      </c>
      <c r="BV31" s="254">
        <f ca="1">(((BU31/386.4)*(BP31^2+BQ31^2))/8)</f>
        <v>1.1949531173504323E-2</v>
      </c>
      <c r="BW31" s="251" t="e">
        <f ca="1">(BP31/BP7)*Ratio</f>
        <v>#N/A</v>
      </c>
      <c r="BX31" s="256" t="e">
        <f ca="1">(BV31/(BW31^2))</f>
        <v>#N/A</v>
      </c>
      <c r="BZ31" s="250" t="s">
        <v>665</v>
      </c>
      <c r="CA31" s="257">
        <v>2.25</v>
      </c>
      <c r="CB31" s="257">
        <v>1.5</v>
      </c>
      <c r="CC31" s="257">
        <f ca="1">VALUE(Width)+1.625</f>
        <v>1.625</v>
      </c>
      <c r="CD31" s="257">
        <v>0.28299999999999997</v>
      </c>
      <c r="CE31" s="381">
        <f ca="1">S_Roll</f>
        <v>5</v>
      </c>
      <c r="CF31" s="253">
        <f ca="1">((PI()*CC31*CD31/4)*(CA31^2-CB31^2))*CE31</f>
        <v>5.0791637867681469</v>
      </c>
      <c r="CG31" s="254">
        <f ca="1">(((CF31/386.4)*(CA31^2+CB31^2))/8)</f>
        <v>1.2015199660566148E-2</v>
      </c>
      <c r="CH31" s="251" t="e">
        <f ca="1">(CA31/CA7)*Ratio</f>
        <v>#N/A</v>
      </c>
      <c r="CI31" s="256" t="e">
        <f ca="1">(CG31/(CH31^2))</f>
        <v>#N/A</v>
      </c>
      <c r="CK31" s="250" t="s">
        <v>665</v>
      </c>
      <c r="CL31" s="339">
        <v>3</v>
      </c>
      <c r="CM31" s="257">
        <v>2</v>
      </c>
      <c r="CN31" s="257">
        <f ca="1">VALUE(Width)+1.625</f>
        <v>1.625</v>
      </c>
      <c r="CO31" s="257">
        <v>0.28299999999999997</v>
      </c>
      <c r="CP31" s="381">
        <f ca="1">S_Roll</f>
        <v>5</v>
      </c>
      <c r="CQ31" s="253">
        <f ca="1">((PI()*CN31*CO31/4)*(CL31^2-CM31^2))*CP31</f>
        <v>9.0296245098100396</v>
      </c>
      <c r="CR31" s="254">
        <f ca="1">(((CQ31/386.4)*(CL31^2+CM31^2))/8)</f>
        <v>3.7973964359320177E-2</v>
      </c>
      <c r="CS31" s="251" t="e">
        <f ca="1">(CL31/CL7)*Ratio</f>
        <v>#N/A</v>
      </c>
      <c r="CT31" s="256" t="e">
        <f ca="1">(CR31/(CS31^2))</f>
        <v>#N/A</v>
      </c>
      <c r="CV31" s="248"/>
      <c r="CW31" s="258"/>
      <c r="CX31" s="258"/>
      <c r="CY31" s="258"/>
      <c r="CZ31" s="258"/>
      <c r="DA31" s="258"/>
      <c r="DB31" s="253"/>
      <c r="DC31" s="254"/>
      <c r="DD31" s="255"/>
      <c r="DE31" s="256"/>
      <c r="DG31" s="250"/>
      <c r="DH31" s="339"/>
      <c r="DI31" s="339"/>
      <c r="DJ31" s="339"/>
      <c r="DK31" s="254"/>
      <c r="DL31" s="257"/>
      <c r="DM31" s="340"/>
      <c r="DN31" s="254"/>
      <c r="DO31" s="255"/>
      <c r="DP31" s="256"/>
      <c r="DR31" s="250"/>
      <c r="DS31" s="341"/>
      <c r="DT31" s="341"/>
      <c r="DU31" s="258"/>
      <c r="DV31" s="251"/>
      <c r="DW31" s="245"/>
      <c r="DX31" s="347"/>
      <c r="DY31" s="348"/>
      <c r="DZ31" s="341"/>
      <c r="EA31" s="349"/>
      <c r="EC31" s="345"/>
      <c r="ED31" s="251"/>
      <c r="EE31" s="251"/>
      <c r="EF31" s="251"/>
      <c r="EG31" s="251"/>
      <c r="EH31" s="252"/>
      <c r="EI31" s="340"/>
      <c r="EJ31" s="254"/>
      <c r="EK31" s="341"/>
      <c r="EL31" s="256"/>
      <c r="EN31" s="345"/>
      <c r="EO31" s="251"/>
      <c r="EP31" s="251"/>
      <c r="EQ31" s="251"/>
      <c r="ER31" s="251"/>
      <c r="ES31" s="252"/>
      <c r="ET31" s="340"/>
      <c r="EU31" s="254"/>
      <c r="EV31" s="341"/>
      <c r="EW31" s="256"/>
      <c r="EY31" s="345"/>
      <c r="EZ31" s="251"/>
      <c r="FA31" s="251"/>
      <c r="FB31" s="251"/>
      <c r="FC31" s="251"/>
      <c r="FD31" s="252"/>
      <c r="FE31" s="340"/>
      <c r="FF31" s="254"/>
      <c r="FG31" s="341"/>
      <c r="FH31" s="256"/>
      <c r="FJ31" s="345"/>
      <c r="FK31" s="251"/>
      <c r="FL31" s="251"/>
      <c r="FM31" s="251"/>
      <c r="FN31" s="251"/>
      <c r="FO31" s="252"/>
      <c r="FP31" s="340"/>
      <c r="FQ31" s="254"/>
      <c r="FR31" s="341"/>
      <c r="FS31" s="256"/>
      <c r="FU31" s="250" t="s">
        <v>804</v>
      </c>
      <c r="FV31" s="339"/>
      <c r="FW31" s="339"/>
      <c r="FX31" s="339"/>
      <c r="FY31" s="251"/>
      <c r="FZ31" s="252"/>
      <c r="GA31" s="340"/>
      <c r="GB31" s="254"/>
      <c r="GC31" s="341"/>
      <c r="GD31" s="256"/>
    </row>
    <row r="32" spans="1:186" ht="15.75" x14ac:dyDescent="0.25">
      <c r="A32" s="250" t="s">
        <v>622</v>
      </c>
      <c r="B32" s="245"/>
      <c r="C32" s="245"/>
      <c r="D32" s="245"/>
      <c r="E32" s="257">
        <v>1</v>
      </c>
      <c r="F32" s="257">
        <v>0</v>
      </c>
      <c r="G32" s="245"/>
      <c r="H32" s="257">
        <v>0</v>
      </c>
      <c r="I32" s="257">
        <v>0</v>
      </c>
      <c r="J32" s="257">
        <f>H32*F32</f>
        <v>0</v>
      </c>
      <c r="L32" s="250" t="s">
        <v>622</v>
      </c>
      <c r="M32" s="245"/>
      <c r="N32" s="245"/>
      <c r="O32" s="245"/>
      <c r="P32" s="257">
        <v>1</v>
      </c>
      <c r="Q32" s="257">
        <v>0</v>
      </c>
      <c r="R32" s="245"/>
      <c r="S32" s="257">
        <v>0</v>
      </c>
      <c r="T32" s="257">
        <v>0</v>
      </c>
      <c r="U32" s="257">
        <f>S32*T32</f>
        <v>0</v>
      </c>
      <c r="W32" s="250" t="s">
        <v>622</v>
      </c>
      <c r="X32" s="245"/>
      <c r="Y32" s="245"/>
      <c r="Z32" s="245"/>
      <c r="AA32" s="257">
        <v>1</v>
      </c>
      <c r="AB32" s="257">
        <v>0</v>
      </c>
      <c r="AC32" s="245"/>
      <c r="AD32" s="257">
        <v>0</v>
      </c>
      <c r="AE32" s="257">
        <v>0</v>
      </c>
      <c r="AF32" s="257">
        <f>AD32*AE32</f>
        <v>0</v>
      </c>
      <c r="AH32" s="250" t="s">
        <v>622</v>
      </c>
      <c r="AI32" s="245"/>
      <c r="AJ32" s="245"/>
      <c r="AK32" s="245"/>
      <c r="AL32" s="257">
        <v>1</v>
      </c>
      <c r="AM32" s="257">
        <v>0</v>
      </c>
      <c r="AN32" s="245"/>
      <c r="AO32" s="257">
        <v>0</v>
      </c>
      <c r="AP32" s="257">
        <v>0</v>
      </c>
      <c r="AQ32" s="257">
        <f>AO32*AP32</f>
        <v>0</v>
      </c>
      <c r="AS32" s="250"/>
      <c r="AT32" s="255"/>
      <c r="AU32" s="255"/>
      <c r="AV32" s="245"/>
      <c r="AW32" s="251"/>
      <c r="AX32" s="245"/>
      <c r="AY32" s="253"/>
      <c r="AZ32" s="254"/>
      <c r="BA32" s="251"/>
      <c r="BB32" s="256"/>
      <c r="BD32" s="250"/>
      <c r="BE32" s="255"/>
      <c r="BF32" s="255"/>
      <c r="BG32" s="245"/>
      <c r="BH32" s="251"/>
      <c r="BI32" s="245"/>
      <c r="BJ32" s="253"/>
      <c r="BK32" s="254"/>
      <c r="BL32" s="251"/>
      <c r="BM32" s="256"/>
      <c r="BO32" s="250"/>
      <c r="BP32" s="255"/>
      <c r="BQ32" s="255"/>
      <c r="BR32" s="245"/>
      <c r="BS32" s="251"/>
      <c r="BT32" s="245"/>
      <c r="BU32" s="253"/>
      <c r="BV32" s="254"/>
      <c r="BW32" s="251"/>
      <c r="BX32" s="256"/>
      <c r="BZ32" s="250"/>
      <c r="CA32" s="255"/>
      <c r="CB32" s="255"/>
      <c r="CC32" s="245"/>
      <c r="CD32" s="251"/>
      <c r="CE32" s="245"/>
      <c r="CF32" s="253"/>
      <c r="CG32" s="254"/>
      <c r="CH32" s="251"/>
      <c r="CI32" s="256"/>
      <c r="CK32" s="250"/>
      <c r="CL32" s="255"/>
      <c r="CM32" s="255"/>
      <c r="CN32" s="245"/>
      <c r="CO32" s="251"/>
      <c r="CP32" s="245"/>
      <c r="CQ32" s="253"/>
      <c r="CR32" s="254"/>
      <c r="CS32" s="251"/>
      <c r="CT32" s="256"/>
      <c r="CV32" s="250" t="s">
        <v>666</v>
      </c>
      <c r="CW32" s="255">
        <v>2.25</v>
      </c>
      <c r="CX32" s="255">
        <v>2</v>
      </c>
      <c r="CY32" s="257">
        <f ca="1">VALUE(Width)+1.625</f>
        <v>1.625</v>
      </c>
      <c r="CZ32" s="251">
        <v>0.28299999999999997</v>
      </c>
      <c r="DA32" s="381">
        <v>0</v>
      </c>
      <c r="DB32" s="253">
        <f ca="1">((PI()*CY32*CZ32/4)*(CW32^2-CX32^2))*DA32</f>
        <v>0</v>
      </c>
      <c r="DC32" s="254">
        <f ca="1">(((DB32/386.4)*(CW32^2+CX32^2))/8)</f>
        <v>0</v>
      </c>
      <c r="DD32" s="255">
        <f>IF($DD$37=0,1,$DD$37)</f>
        <v>1</v>
      </c>
      <c r="DE32" s="256">
        <f ca="1">(DC32/(DD32^2))</f>
        <v>0</v>
      </c>
      <c r="DG32" s="248" t="s">
        <v>666</v>
      </c>
      <c r="DH32" s="339">
        <v>3</v>
      </c>
      <c r="DI32" s="339">
        <v>2</v>
      </c>
      <c r="DJ32" s="258">
        <f ca="1">VALUE(Width)+1.625</f>
        <v>1.625</v>
      </c>
      <c r="DK32" s="258">
        <v>0.28299999999999997</v>
      </c>
      <c r="DL32" s="258">
        <f ca="1">SP_Roll</f>
        <v>2</v>
      </c>
      <c r="DM32" s="346">
        <f ca="1">((PI()*DJ32*DK32/4)*(DH32^2-DI32^2))*DL32</f>
        <v>3.6118498039240157</v>
      </c>
      <c r="DN32" s="258">
        <f ca="1">(((DM32/386.4)*(DH32^2+DI32^2))/8)</f>
        <v>1.5189585743728069E-2</v>
      </c>
      <c r="DO32" s="255" t="e">
        <f ca="1">(DH32/DH6)*Ratio</f>
        <v>#N/A</v>
      </c>
      <c r="DP32" s="258" t="e">
        <f ca="1">(DN32/(DO32^2))</f>
        <v>#N/A</v>
      </c>
      <c r="DR32" s="250" t="s">
        <v>666</v>
      </c>
      <c r="DS32" s="341">
        <v>3.5</v>
      </c>
      <c r="DT32" s="341">
        <v>1</v>
      </c>
      <c r="DU32" s="258">
        <f ca="1">VALUE(Width)+1.625</f>
        <v>1.625</v>
      </c>
      <c r="DV32" s="343">
        <v>0.28299999999999997</v>
      </c>
      <c r="DW32" s="390">
        <v>1</v>
      </c>
      <c r="DX32" s="347">
        <f ca="1">((PI()*DU32*DV32/4)*(DS32^2-DT32^2))*DW32</f>
        <v>4.0633310294145177</v>
      </c>
      <c r="DY32" s="348">
        <f ca="1">(((DX32/386.4)*(DS32^2+DT32^2))/8)</f>
        <v>1.7416904807111274E-2</v>
      </c>
      <c r="DZ32" s="341" t="e">
        <f ca="1">(DS32/DS6)*Ratio</f>
        <v>#N/A</v>
      </c>
      <c r="EA32" s="349" t="e">
        <f ca="1">(DY32/(DZ32^2))</f>
        <v>#N/A</v>
      </c>
      <c r="EC32" s="250"/>
      <c r="ED32" s="258"/>
      <c r="EE32" s="258"/>
      <c r="EF32" s="258"/>
      <c r="EG32" s="245"/>
      <c r="EH32" s="245"/>
      <c r="EI32" s="340"/>
      <c r="EJ32" s="254"/>
      <c r="EK32" s="341"/>
      <c r="EL32" s="256"/>
      <c r="EN32" s="250"/>
      <c r="EO32" s="258"/>
      <c r="EP32" s="258"/>
      <c r="EQ32" s="258"/>
      <c r="ER32" s="245"/>
      <c r="ES32" s="245"/>
      <c r="ET32" s="340"/>
      <c r="EU32" s="254"/>
      <c r="EV32" s="341"/>
      <c r="EW32" s="256"/>
      <c r="EY32" s="250"/>
      <c r="EZ32" s="258"/>
      <c r="FA32" s="258"/>
      <c r="FB32" s="258"/>
      <c r="FC32" s="245"/>
      <c r="FD32" s="245"/>
      <c r="FE32" s="340"/>
      <c r="FF32" s="254"/>
      <c r="FG32" s="341"/>
      <c r="FH32" s="256"/>
      <c r="FJ32" s="250"/>
      <c r="FK32" s="258"/>
      <c r="FL32" s="258"/>
      <c r="FM32" s="258"/>
      <c r="FN32" s="245"/>
      <c r="FO32" s="245"/>
      <c r="FP32" s="340"/>
      <c r="FQ32" s="254"/>
      <c r="FR32" s="341"/>
      <c r="FS32" s="256"/>
      <c r="FU32" s="250"/>
      <c r="FV32" s="339"/>
      <c r="FW32" s="339"/>
      <c r="FX32" s="339"/>
      <c r="FY32" s="251"/>
      <c r="FZ32" s="252"/>
      <c r="GA32" s="340"/>
      <c r="GB32" s="254"/>
      <c r="GC32" s="341"/>
      <c r="GD32" s="256"/>
    </row>
    <row r="33" spans="1:186" ht="15.75" x14ac:dyDescent="0.25">
      <c r="A33" s="250"/>
      <c r="B33" s="245"/>
      <c r="C33" s="245"/>
      <c r="D33" s="245"/>
      <c r="E33" s="245"/>
      <c r="F33" s="245"/>
      <c r="G33" s="245"/>
      <c r="H33" s="245"/>
      <c r="I33" s="245"/>
      <c r="J33" s="245"/>
      <c r="L33" s="250"/>
      <c r="M33" s="245"/>
      <c r="N33" s="245"/>
      <c r="O33" s="245"/>
      <c r="P33" s="245"/>
      <c r="Q33" s="245"/>
      <c r="R33" s="245"/>
      <c r="S33" s="245"/>
      <c r="T33" s="245"/>
      <c r="U33" s="245"/>
      <c r="W33" s="250"/>
      <c r="X33" s="245"/>
      <c r="Y33" s="245"/>
      <c r="Z33" s="245"/>
      <c r="AA33" s="245"/>
      <c r="AB33" s="245"/>
      <c r="AC33" s="245"/>
      <c r="AD33" s="245"/>
      <c r="AE33" s="245"/>
      <c r="AF33" s="245"/>
      <c r="AH33" s="250"/>
      <c r="AI33" s="245"/>
      <c r="AJ33" s="245"/>
      <c r="AK33" s="245"/>
      <c r="AL33" s="245"/>
      <c r="AM33" s="245"/>
      <c r="AN33" s="245"/>
      <c r="AO33" s="245"/>
      <c r="AP33" s="245"/>
      <c r="AQ33" s="245"/>
      <c r="AS33" s="250" t="s">
        <v>666</v>
      </c>
      <c r="AT33" s="257">
        <v>2.25</v>
      </c>
      <c r="AU33" s="257">
        <v>1.605</v>
      </c>
      <c r="AV33" s="257">
        <f ca="1">VALUE(Width)+1.75</f>
        <v>1.75</v>
      </c>
      <c r="AW33" s="257">
        <v>0.28299999999999997</v>
      </c>
      <c r="AX33" s="381">
        <f ca="1">SP_Roll</f>
        <v>2</v>
      </c>
      <c r="AY33" s="253">
        <f ca="1">((PI()*AV33*AW33/4)*(AT33^2-AU33^2))*AX33</f>
        <v>1.9343206057995002</v>
      </c>
      <c r="AZ33" s="254">
        <f ca="1">(((AY33/386.4)*(AT33^2+AU33^2))/8)</f>
        <v>4.7798124694017298E-3</v>
      </c>
      <c r="BA33" s="251" t="e">
        <f ca="1">(AT31/AT7)*Ratio</f>
        <v>#N/A</v>
      </c>
      <c r="BB33" s="256" t="e">
        <f ca="1">(AZ33/(BA33^2))</f>
        <v>#N/A</v>
      </c>
      <c r="BD33" s="250" t="s">
        <v>666</v>
      </c>
      <c r="BE33" s="257">
        <v>2.25</v>
      </c>
      <c r="BF33" s="257">
        <v>1.605</v>
      </c>
      <c r="BG33" s="257">
        <f ca="1">VALUE(Width)+1.75</f>
        <v>1.75</v>
      </c>
      <c r="BH33" s="257">
        <v>0.28299999999999997</v>
      </c>
      <c r="BI33" s="381">
        <f ca="1">SP_Roll</f>
        <v>2</v>
      </c>
      <c r="BJ33" s="253">
        <f ca="1">((PI()*BG33*BH33/4)*(BE33^2-BF33^2))*BI33</f>
        <v>1.9343206057995002</v>
      </c>
      <c r="BK33" s="254">
        <f ca="1">(((BJ33/386.4)*(BE33^2+BF33^2))/8)</f>
        <v>4.7798124694017298E-3</v>
      </c>
      <c r="BL33" s="251" t="e">
        <f ca="1">(BE31/BE7)*Ratio</f>
        <v>#N/A</v>
      </c>
      <c r="BM33" s="256" t="e">
        <f ca="1">(BK33/(BL33^2))</f>
        <v>#N/A</v>
      </c>
      <c r="BO33" s="250" t="s">
        <v>666</v>
      </c>
      <c r="BP33" s="339">
        <v>3</v>
      </c>
      <c r="BQ33" s="257">
        <v>1.605</v>
      </c>
      <c r="BR33" s="257">
        <f ca="1">VALUE(Width)+1.75</f>
        <v>1.75</v>
      </c>
      <c r="BS33" s="257">
        <v>0.28299999999999997</v>
      </c>
      <c r="BT33" s="381">
        <f ca="1">SP_Roll</f>
        <v>2</v>
      </c>
      <c r="BU33" s="253">
        <f ca="1">((PI()*BR33*BS33/4)*(BP33^2-BQ33^2))*BT33</f>
        <v>4.9974470741273667</v>
      </c>
      <c r="BV33" s="254">
        <f ca="1">(((BU33/386.4)*(BP33^2+BQ33^2))/8)</f>
        <v>1.8714600241419271E-2</v>
      </c>
      <c r="BW33" s="251" t="e">
        <f ca="1">(BP33/BP7)*Ratio</f>
        <v>#N/A</v>
      </c>
      <c r="BX33" s="256" t="e">
        <f ca="1">(BV33/(BW33^2))</f>
        <v>#N/A</v>
      </c>
      <c r="BZ33" s="250" t="s">
        <v>666</v>
      </c>
      <c r="CA33" s="339">
        <v>3</v>
      </c>
      <c r="CB33" s="257">
        <v>2</v>
      </c>
      <c r="CC33" s="257">
        <f ca="1">VALUE(Width)+1.625</f>
        <v>1.625</v>
      </c>
      <c r="CD33" s="257">
        <v>0.28299999999999997</v>
      </c>
      <c r="CE33" s="381">
        <f ca="1">SP_Roll</f>
        <v>2</v>
      </c>
      <c r="CF33" s="253">
        <f ca="1">((PI()*CC33*CD33/4)*(CA33^2-CB33^2))*CE33</f>
        <v>3.6118498039240157</v>
      </c>
      <c r="CG33" s="254">
        <f ca="1">(((CF33/386.4)*(CA33^2+CB33^2))/8)</f>
        <v>1.5189585743728069E-2</v>
      </c>
      <c r="CH33" s="251" t="e">
        <f ca="1">(CA33/CA7)*Ratio</f>
        <v>#N/A</v>
      </c>
      <c r="CI33" s="256" t="e">
        <f ca="1">(CG33/(CH33^2))</f>
        <v>#N/A</v>
      </c>
      <c r="CK33" s="250" t="s">
        <v>666</v>
      </c>
      <c r="CL33" s="339">
        <v>3</v>
      </c>
      <c r="CM33" s="257">
        <v>2</v>
      </c>
      <c r="CN33" s="257">
        <f ca="1">VALUE(Width)+1.625</f>
        <v>1.625</v>
      </c>
      <c r="CO33" s="257">
        <v>0.28299999999999997</v>
      </c>
      <c r="CP33" s="381">
        <f ca="1">SP_Roll</f>
        <v>2</v>
      </c>
      <c r="CQ33" s="253">
        <f ca="1">((PI()*CN33*CO33/4)*(CL33^2-CM33^2))*CP33</f>
        <v>3.6118498039240157</v>
      </c>
      <c r="CR33" s="254">
        <f ca="1">(((CQ33/386.4)*(CL33^2+CM33^2))/8)</f>
        <v>1.5189585743728069E-2</v>
      </c>
      <c r="CS33" s="251" t="e">
        <f ca="1">(CL33/CL7)*Ratio</f>
        <v>#N/A</v>
      </c>
      <c r="CT33" s="256" t="e">
        <f ca="1">(CR33/(CS33^2))</f>
        <v>#N/A</v>
      </c>
      <c r="CV33" s="248"/>
      <c r="CW33" s="245"/>
      <c r="CX33" s="245"/>
      <c r="CY33" s="245"/>
      <c r="CZ33" s="245"/>
      <c r="DA33" s="245"/>
      <c r="DB33" s="245"/>
      <c r="DC33" s="245"/>
      <c r="DD33" s="245"/>
      <c r="DE33" s="245"/>
      <c r="DG33" s="248"/>
      <c r="DH33" s="258"/>
      <c r="DI33" s="258"/>
      <c r="DJ33" s="258"/>
      <c r="DK33" s="258"/>
      <c r="DL33" s="258"/>
      <c r="DM33" s="346"/>
      <c r="DN33" s="258"/>
      <c r="DO33" s="258"/>
      <c r="DP33" s="258"/>
      <c r="DR33" s="248"/>
      <c r="DS33" s="245"/>
      <c r="DT33" s="245"/>
      <c r="DU33" s="245"/>
      <c r="DV33" s="245"/>
      <c r="DW33" s="245"/>
      <c r="DX33" s="245"/>
      <c r="DY33" s="245"/>
      <c r="DZ33" s="245"/>
      <c r="EA33" s="245"/>
      <c r="EC33" s="248"/>
      <c r="ED33" s="245"/>
      <c r="EE33" s="245"/>
      <c r="EF33" s="245"/>
      <c r="EG33" s="245"/>
      <c r="EH33" s="245"/>
      <c r="EI33" s="245"/>
      <c r="EJ33" s="245"/>
      <c r="EK33" s="245"/>
      <c r="EL33" s="245"/>
      <c r="EN33" s="248"/>
      <c r="EO33" s="245"/>
      <c r="EP33" s="245"/>
      <c r="EQ33" s="245"/>
      <c r="ER33" s="245"/>
      <c r="ES33" s="245"/>
      <c r="ET33" s="245"/>
      <c r="EU33" s="245"/>
      <c r="EV33" s="245"/>
      <c r="EW33" s="245"/>
      <c r="EY33" s="248"/>
      <c r="EZ33" s="245"/>
      <c r="FA33" s="245"/>
      <c r="FB33" s="245"/>
      <c r="FC33" s="245"/>
      <c r="FD33" s="245"/>
      <c r="FE33" s="245"/>
      <c r="FF33" s="245"/>
      <c r="FG33" s="245"/>
      <c r="FH33" s="245"/>
      <c r="FJ33" s="248"/>
      <c r="FK33" s="245"/>
      <c r="FL33" s="245"/>
      <c r="FM33" s="245"/>
      <c r="FN33" s="245"/>
      <c r="FO33" s="245"/>
      <c r="FP33" s="245"/>
      <c r="FQ33" s="245"/>
      <c r="FR33" s="245"/>
      <c r="FS33" s="245"/>
      <c r="FU33" s="248"/>
      <c r="FV33" s="245"/>
      <c r="FW33" s="245"/>
      <c r="FX33" s="245"/>
      <c r="FY33" s="245"/>
      <c r="FZ33" s="245"/>
      <c r="GA33" s="245"/>
      <c r="GB33" s="245"/>
      <c r="GC33" s="245"/>
      <c r="GD33" s="245"/>
    </row>
    <row r="34" spans="1:186" ht="15.75" x14ac:dyDescent="0.25">
      <c r="A34" s="250"/>
      <c r="B34" s="245"/>
      <c r="C34" s="245"/>
      <c r="D34" s="245"/>
      <c r="E34" s="245"/>
      <c r="F34" s="245"/>
      <c r="G34" s="245"/>
      <c r="H34" s="245"/>
      <c r="I34" s="245"/>
      <c r="J34" s="245"/>
      <c r="L34" s="250"/>
      <c r="M34" s="245"/>
      <c r="N34" s="245"/>
      <c r="O34" s="245"/>
      <c r="P34" s="245"/>
      <c r="Q34" s="245"/>
      <c r="R34" s="245"/>
      <c r="S34" s="245"/>
      <c r="T34" s="245"/>
      <c r="U34" s="245"/>
      <c r="W34" s="250"/>
      <c r="X34" s="245"/>
      <c r="Y34" s="245"/>
      <c r="Z34" s="245"/>
      <c r="AA34" s="245"/>
      <c r="AB34" s="245"/>
      <c r="AC34" s="245"/>
      <c r="AD34" s="245"/>
      <c r="AE34" s="245"/>
      <c r="AF34" s="245"/>
      <c r="AH34" s="250"/>
      <c r="AI34" s="245"/>
      <c r="AJ34" s="245"/>
      <c r="AK34" s="245"/>
      <c r="AL34" s="245"/>
      <c r="AM34" s="245"/>
      <c r="AN34" s="245"/>
      <c r="AO34" s="245"/>
      <c r="AP34" s="245"/>
      <c r="AQ34" s="245"/>
      <c r="AS34" s="248"/>
      <c r="AT34" s="338"/>
      <c r="AU34" s="338"/>
      <c r="AV34" s="338"/>
      <c r="AW34" s="338"/>
      <c r="AX34" s="338"/>
      <c r="AY34" s="245"/>
      <c r="AZ34" s="338"/>
      <c r="BA34" s="338"/>
      <c r="BB34" s="338"/>
      <c r="CV34" s="248"/>
      <c r="CW34" s="338" t="s">
        <v>619</v>
      </c>
      <c r="CX34" s="338" t="s">
        <v>620</v>
      </c>
      <c r="CY34" s="338"/>
      <c r="CZ34" s="338" t="s">
        <v>621</v>
      </c>
      <c r="DA34" s="338" t="s">
        <v>574</v>
      </c>
      <c r="DB34" s="245"/>
      <c r="DC34" s="338" t="s">
        <v>576</v>
      </c>
      <c r="DD34" s="338" t="s">
        <v>103</v>
      </c>
      <c r="DE34" s="338" t="s">
        <v>577</v>
      </c>
      <c r="DG34" s="248"/>
      <c r="DH34" s="338" t="s">
        <v>619</v>
      </c>
      <c r="DI34" s="338" t="s">
        <v>620</v>
      </c>
      <c r="DJ34" s="338"/>
      <c r="DK34" s="338" t="s">
        <v>621</v>
      </c>
      <c r="DL34" s="338" t="s">
        <v>574</v>
      </c>
      <c r="DM34" s="245"/>
      <c r="DN34" s="338" t="s">
        <v>576</v>
      </c>
      <c r="DO34" s="338" t="s">
        <v>103</v>
      </c>
      <c r="DP34" s="338" t="s">
        <v>577</v>
      </c>
      <c r="DR34" s="248"/>
      <c r="DS34" s="338" t="s">
        <v>619</v>
      </c>
      <c r="DT34" s="338" t="s">
        <v>620</v>
      </c>
      <c r="DU34" s="338"/>
      <c r="DV34" s="338" t="s">
        <v>621</v>
      </c>
      <c r="DW34" s="338" t="s">
        <v>574</v>
      </c>
      <c r="DX34" s="245"/>
      <c r="DY34" s="338" t="s">
        <v>576</v>
      </c>
      <c r="DZ34" s="338" t="s">
        <v>103</v>
      </c>
      <c r="EA34" s="338" t="s">
        <v>577</v>
      </c>
      <c r="EC34" s="345" t="s">
        <v>665</v>
      </c>
      <c r="ED34" s="255">
        <v>3.5</v>
      </c>
      <c r="EE34" s="255">
        <v>2.25</v>
      </c>
      <c r="EF34" s="258">
        <f ca="1">VALUE(Width)+1.625</f>
        <v>1.625</v>
      </c>
      <c r="EG34" s="251">
        <v>0.28299999999999997</v>
      </c>
      <c r="EH34" s="257">
        <v>6</v>
      </c>
      <c r="EI34" s="340">
        <f ca="1">((PI()*EF34*EG34/4)*(ED34^2-EE34^2))*EH34</f>
        <v>15.576102279422315</v>
      </c>
      <c r="EJ34" s="254">
        <f ca="1">(((EI34/386.4)*(ED34^2+EE34^2))/8)</f>
        <v>8.7235141923039217E-2</v>
      </c>
      <c r="EK34" s="341" t="e">
        <f ca="1">(ED34/ED6)*Ratio</f>
        <v>#N/A</v>
      </c>
      <c r="EL34" s="256" t="e">
        <f ca="1">(EJ34/(EK34^2))</f>
        <v>#N/A</v>
      </c>
      <c r="EN34" s="345" t="s">
        <v>665</v>
      </c>
      <c r="EO34" s="255">
        <v>5</v>
      </c>
      <c r="EP34" s="255">
        <v>4</v>
      </c>
      <c r="EQ34" s="258">
        <f ca="1">VALUE(Width)+1.625</f>
        <v>1.625</v>
      </c>
      <c r="ER34" s="251">
        <v>0.28299999999999997</v>
      </c>
      <c r="ES34" s="257">
        <v>6</v>
      </c>
      <c r="ET34" s="340">
        <f ca="1">((PI()*EQ34*ER34/4)*(EO34^2-EP34^2))*ES34</f>
        <v>19.503988941189682</v>
      </c>
      <c r="EU34" s="254">
        <f ca="1">(((ET34/386.4)*(EO34^2+EP34^2))/8)</f>
        <v>0.25869032951241494</v>
      </c>
      <c r="EV34" s="341" t="e">
        <f ca="1">(EO34/EO6)*Ratio</f>
        <v>#N/A</v>
      </c>
      <c r="EW34" s="256" t="e">
        <f ca="1">(EU34/(EV34^2))</f>
        <v>#N/A</v>
      </c>
      <c r="EY34" s="345" t="s">
        <v>665</v>
      </c>
      <c r="EZ34" s="255">
        <v>3.5</v>
      </c>
      <c r="FA34" s="255">
        <v>2.25</v>
      </c>
      <c r="FB34" s="258">
        <f ca="1">VALUE(Width)+1.625</f>
        <v>1.625</v>
      </c>
      <c r="FC34" s="251">
        <v>0.28299999999999997</v>
      </c>
      <c r="FD34" s="257">
        <v>6</v>
      </c>
      <c r="FE34" s="340">
        <f ca="1">((PI()*FB34*FC34/4)*(EZ34^2-FA34^2))*FD34</f>
        <v>15.576102279422315</v>
      </c>
      <c r="FF34" s="254">
        <f ca="1">(((FE34/386.4)*(EZ34^2+FA34^2))/8)</f>
        <v>8.7235141923039217E-2</v>
      </c>
      <c r="FG34" s="341" t="e">
        <f ca="1">(EZ34/EZ6)*Ratio</f>
        <v>#N/A</v>
      </c>
      <c r="FH34" s="256" t="e">
        <f ca="1">(FF34/(FG34^2))</f>
        <v>#N/A</v>
      </c>
      <c r="FJ34" s="345" t="s">
        <v>665</v>
      </c>
      <c r="FK34" s="255">
        <v>5</v>
      </c>
      <c r="FL34" s="255">
        <v>4</v>
      </c>
      <c r="FM34" s="258">
        <f ca="1">VALUE(Width)+1.625</f>
        <v>1.625</v>
      </c>
      <c r="FN34" s="251">
        <v>0.28299999999999997</v>
      </c>
      <c r="FO34" s="257">
        <v>6</v>
      </c>
      <c r="FP34" s="340">
        <f ca="1">((PI()*FM34*FN34/4)*(FK34^2-FL34^2))*FO34</f>
        <v>19.503988941189682</v>
      </c>
      <c r="FQ34" s="254">
        <f ca="1">(((FP34/386.4)*(FK34^2+FL34^2))/8)</f>
        <v>0.25869032951241494</v>
      </c>
      <c r="FR34" s="341" t="e">
        <f ca="1">(FK34/FK6)*Ratio</f>
        <v>#N/A</v>
      </c>
      <c r="FS34" s="256" t="e">
        <f ca="1">(FQ34/(FR34^2))</f>
        <v>#N/A</v>
      </c>
      <c r="FU34" s="345" t="s">
        <v>665</v>
      </c>
      <c r="FV34" s="255">
        <v>5</v>
      </c>
      <c r="FW34" s="255">
        <v>4</v>
      </c>
      <c r="FX34" s="258">
        <f ca="1">VALUE(Width)+1.625</f>
        <v>1.625</v>
      </c>
      <c r="FY34" s="251">
        <v>0.28299999999999997</v>
      </c>
      <c r="FZ34" s="257">
        <v>6</v>
      </c>
      <c r="GA34" s="340">
        <f ca="1">((PI()*FX34*FY34/4)*(FV34^2-FW34^2))*FZ34</f>
        <v>19.503988941189682</v>
      </c>
      <c r="GB34" s="254">
        <f ca="1">(((GA34/386.4)*(FV34^2+FW34^2))/8)</f>
        <v>0.25869032951241494</v>
      </c>
      <c r="GC34" s="341" t="e">
        <f ca="1">(FV34/FV6)*Ratio</f>
        <v>#N/A</v>
      </c>
      <c r="GD34" s="256" t="e">
        <f ca="1">(GB34/(GC34^2))</f>
        <v>#N/A</v>
      </c>
    </row>
    <row r="35" spans="1:186" ht="15.75" x14ac:dyDescent="0.25">
      <c r="A35" s="250"/>
      <c r="B35" s="338" t="s">
        <v>114</v>
      </c>
      <c r="C35" s="338" t="s">
        <v>623</v>
      </c>
      <c r="D35" s="338" t="s">
        <v>624</v>
      </c>
      <c r="E35" s="338" t="s">
        <v>625</v>
      </c>
      <c r="F35" s="338" t="s">
        <v>626</v>
      </c>
      <c r="G35" s="338" t="s">
        <v>575</v>
      </c>
      <c r="H35" s="338" t="s">
        <v>576</v>
      </c>
      <c r="I35" s="338" t="s">
        <v>103</v>
      </c>
      <c r="J35" s="338" t="s">
        <v>577</v>
      </c>
      <c r="L35" s="250"/>
      <c r="M35" s="338" t="s">
        <v>114</v>
      </c>
      <c r="N35" s="338" t="s">
        <v>623</v>
      </c>
      <c r="O35" s="338" t="s">
        <v>624</v>
      </c>
      <c r="P35" s="338" t="s">
        <v>625</v>
      </c>
      <c r="Q35" s="338" t="s">
        <v>626</v>
      </c>
      <c r="R35" s="338" t="s">
        <v>575</v>
      </c>
      <c r="S35" s="338" t="s">
        <v>576</v>
      </c>
      <c r="T35" s="338" t="s">
        <v>103</v>
      </c>
      <c r="U35" s="338" t="s">
        <v>577</v>
      </c>
      <c r="W35" s="250"/>
      <c r="X35" s="338" t="s">
        <v>114</v>
      </c>
      <c r="Y35" s="338" t="s">
        <v>623</v>
      </c>
      <c r="Z35" s="338" t="s">
        <v>624</v>
      </c>
      <c r="AA35" s="338" t="s">
        <v>625</v>
      </c>
      <c r="AB35" s="338" t="s">
        <v>627</v>
      </c>
      <c r="AC35" s="338" t="s">
        <v>575</v>
      </c>
      <c r="AD35" s="338" t="s">
        <v>576</v>
      </c>
      <c r="AE35" s="338" t="s">
        <v>103</v>
      </c>
      <c r="AF35" s="338" t="s">
        <v>577</v>
      </c>
      <c r="AH35" s="250"/>
      <c r="AI35" s="338" t="s">
        <v>114</v>
      </c>
      <c r="AJ35" s="338" t="s">
        <v>623</v>
      </c>
      <c r="AK35" s="338" t="s">
        <v>624</v>
      </c>
      <c r="AL35" s="338" t="s">
        <v>625</v>
      </c>
      <c r="AM35" s="338" t="s">
        <v>627</v>
      </c>
      <c r="AN35" s="338" t="s">
        <v>575</v>
      </c>
      <c r="AO35" s="338" t="s">
        <v>576</v>
      </c>
      <c r="AP35" s="338" t="s">
        <v>103</v>
      </c>
      <c r="AQ35" s="338" t="s">
        <v>577</v>
      </c>
      <c r="AS35" s="248"/>
      <c r="AT35" s="338" t="s">
        <v>619</v>
      </c>
      <c r="AU35" s="338" t="s">
        <v>620</v>
      </c>
      <c r="AV35" s="338"/>
      <c r="AW35" s="338" t="s">
        <v>621</v>
      </c>
      <c r="AX35" s="338"/>
      <c r="AY35" s="245"/>
      <c r="AZ35" s="338" t="s">
        <v>576</v>
      </c>
      <c r="BA35" s="338" t="s">
        <v>103</v>
      </c>
      <c r="BB35" s="338" t="s">
        <v>577</v>
      </c>
      <c r="BD35" s="248"/>
      <c r="BE35" s="338" t="s">
        <v>619</v>
      </c>
      <c r="BF35" s="338" t="s">
        <v>620</v>
      </c>
      <c r="BG35" s="338"/>
      <c r="BH35" s="338" t="s">
        <v>621</v>
      </c>
      <c r="BI35" s="338"/>
      <c r="BJ35" s="245"/>
      <c r="BK35" s="338" t="s">
        <v>576</v>
      </c>
      <c r="BL35" s="338" t="s">
        <v>103</v>
      </c>
      <c r="BM35" s="338" t="s">
        <v>577</v>
      </c>
      <c r="BO35" s="250"/>
      <c r="BP35" s="245"/>
      <c r="BQ35" s="245"/>
      <c r="BR35" s="245"/>
      <c r="BS35" s="245"/>
      <c r="BT35" s="245"/>
      <c r="BU35" s="245"/>
      <c r="BV35" s="245"/>
      <c r="BW35" s="245"/>
      <c r="BX35" s="245"/>
      <c r="BZ35" s="248"/>
      <c r="CA35" s="338" t="s">
        <v>619</v>
      </c>
      <c r="CB35" s="338" t="s">
        <v>620</v>
      </c>
      <c r="CC35" s="338"/>
      <c r="CD35" s="338" t="s">
        <v>621</v>
      </c>
      <c r="CE35" s="338"/>
      <c r="CF35" s="245"/>
      <c r="CG35" s="338" t="s">
        <v>576</v>
      </c>
      <c r="CH35" s="338" t="s">
        <v>103</v>
      </c>
      <c r="CI35" s="338" t="s">
        <v>577</v>
      </c>
      <c r="CK35" s="248"/>
      <c r="CL35" s="338" t="s">
        <v>619</v>
      </c>
      <c r="CM35" s="338" t="s">
        <v>620</v>
      </c>
      <c r="CN35" s="338"/>
      <c r="CO35" s="338" t="s">
        <v>621</v>
      </c>
      <c r="CP35" s="338"/>
      <c r="CQ35" s="245"/>
      <c r="CR35" s="338" t="s">
        <v>576</v>
      </c>
      <c r="CS35" s="338" t="s">
        <v>103</v>
      </c>
      <c r="CT35" s="338" t="s">
        <v>577</v>
      </c>
      <c r="CV35" s="248"/>
      <c r="CW35" s="338"/>
      <c r="CX35" s="338"/>
      <c r="CY35" s="338"/>
      <c r="CZ35" s="338"/>
      <c r="DA35" s="338"/>
      <c r="DB35" s="245"/>
      <c r="DC35" s="338"/>
      <c r="DD35" s="338"/>
      <c r="DE35" s="338"/>
      <c r="DG35" s="248"/>
      <c r="DH35" s="338"/>
      <c r="DI35" s="338"/>
      <c r="DJ35" s="338"/>
      <c r="DK35" s="338"/>
      <c r="DL35" s="338"/>
      <c r="DM35" s="245"/>
      <c r="DN35" s="338"/>
      <c r="DO35" s="338"/>
      <c r="DP35" s="338"/>
      <c r="DR35" s="248"/>
      <c r="DS35" s="338"/>
      <c r="DT35" s="338"/>
      <c r="DU35" s="338"/>
      <c r="DV35" s="338"/>
      <c r="DW35" s="338"/>
      <c r="DX35" s="245"/>
      <c r="DY35" s="338"/>
      <c r="DZ35" s="338"/>
      <c r="EA35" s="338"/>
    </row>
    <row r="36" spans="1:186" ht="15.75" x14ac:dyDescent="0.25">
      <c r="A36" s="250" t="s">
        <v>628</v>
      </c>
      <c r="B36" s="338">
        <f ca="1">MatWidth</f>
        <v>18</v>
      </c>
      <c r="C36" s="338">
        <f ca="1">MatThickness</f>
        <v>0.25</v>
      </c>
      <c r="D36" s="338">
        <f ca="1">MatLnFLT</f>
        <v>24</v>
      </c>
      <c r="E36" s="338">
        <f ca="1">MatDensity</f>
        <v>0.28299999999999997</v>
      </c>
      <c r="F36" s="338">
        <f ca="1">MatLoop</f>
        <v>282.74333882308139</v>
      </c>
      <c r="G36" s="259">
        <f ca="1">B36*C36*E36*F36</f>
        <v>360.07364199119411</v>
      </c>
      <c r="H36" s="260">
        <f ca="1">((B36*C36*D36*E36)/32.3)*(((B7*0.5)^2)/144)*12</f>
        <v>9.980021284829721E-2</v>
      </c>
      <c r="I36" s="257" t="e">
        <f ca="1">Ratio</f>
        <v>#N/A</v>
      </c>
      <c r="J36" s="260" t="e">
        <f ca="1">H36/(I36^2)</f>
        <v>#N/A</v>
      </c>
      <c r="L36" s="250" t="s">
        <v>628</v>
      </c>
      <c r="M36" s="338">
        <f ca="1">MatWidth</f>
        <v>18</v>
      </c>
      <c r="N36" s="338">
        <f ca="1">MatThickness</f>
        <v>0.25</v>
      </c>
      <c r="O36" s="338">
        <f ca="1">MatLnFLT</f>
        <v>24</v>
      </c>
      <c r="P36" s="338">
        <f ca="1">MatDensity</f>
        <v>0.28299999999999997</v>
      </c>
      <c r="Q36" s="338">
        <f ca="1">MatLoop</f>
        <v>282.74333882308139</v>
      </c>
      <c r="R36" s="259">
        <f ca="1">M36*N36*P36*Q36</f>
        <v>360.07364199119411</v>
      </c>
      <c r="S36" s="260">
        <f ca="1">((M36*N36*O36*P36)/32.3)*(((M7*0.5)^2)/144)*12</f>
        <v>9.980021284829721E-2</v>
      </c>
      <c r="T36" s="257" t="e">
        <f ca="1">Ratio</f>
        <v>#N/A</v>
      </c>
      <c r="U36" s="260" t="e">
        <f ca="1">S36/(T36^2)</f>
        <v>#N/A</v>
      </c>
      <c r="W36" s="250" t="s">
        <v>628</v>
      </c>
      <c r="X36" s="338">
        <f ca="1">MatWidth</f>
        <v>18</v>
      </c>
      <c r="Y36" s="338">
        <f ca="1">MatThickness</f>
        <v>0.25</v>
      </c>
      <c r="Z36" s="338">
        <f ca="1">MatLnFLT</f>
        <v>24</v>
      </c>
      <c r="AA36" s="338">
        <f ca="1">MatDensity</f>
        <v>0.28299999999999997</v>
      </c>
      <c r="AB36" s="338">
        <f ca="1">MatLoop</f>
        <v>282.74333882308139</v>
      </c>
      <c r="AC36" s="259">
        <f ca="1">X36*Y36*AA36*AB36</f>
        <v>360.07364199119411</v>
      </c>
      <c r="AD36" s="260">
        <f ca="1">((X36*Y36*Z36*AA36)/32.3)*(((X7*0.5)^2)/144)*12</f>
        <v>0.13583917859907121</v>
      </c>
      <c r="AE36" s="257" t="e">
        <f ca="1">Ratio</f>
        <v>#N/A</v>
      </c>
      <c r="AF36" s="260" t="e">
        <f ca="1">AD36/(AE36^2)</f>
        <v>#N/A</v>
      </c>
      <c r="AH36" s="250" t="s">
        <v>628</v>
      </c>
      <c r="AI36" s="338">
        <f ca="1">MatWidth</f>
        <v>18</v>
      </c>
      <c r="AJ36" s="338">
        <f ca="1">MatThickness</f>
        <v>0.25</v>
      </c>
      <c r="AK36" s="338">
        <f ca="1">MatLnFLT</f>
        <v>24</v>
      </c>
      <c r="AL36" s="338">
        <f ca="1">MatDensity</f>
        <v>0.28299999999999997</v>
      </c>
      <c r="AM36" s="338">
        <f ca="1">MatLoop</f>
        <v>282.74333882308139</v>
      </c>
      <c r="AN36" s="259">
        <f ca="1">AI36*AJ36*AL36*AM36</f>
        <v>360.07364199119411</v>
      </c>
      <c r="AO36" s="260">
        <f ca="1">((AI36*AJ36*AK36*AL36)/32.3)*(((AI7*0.5)^2)/144)*12</f>
        <v>0.13583917859907121</v>
      </c>
      <c r="AP36" s="257" t="e">
        <f ca="1">Ratio</f>
        <v>#N/A</v>
      </c>
      <c r="AQ36" s="260" t="e">
        <f ca="1">AO36/(AP36^2)</f>
        <v>#N/A</v>
      </c>
      <c r="AS36" s="250" t="s">
        <v>622</v>
      </c>
      <c r="AT36" s="245"/>
      <c r="AU36" s="245"/>
      <c r="AV36" s="245"/>
      <c r="AW36" s="257">
        <v>1</v>
      </c>
      <c r="AX36" s="257">
        <v>0</v>
      </c>
      <c r="AY36" s="245"/>
      <c r="AZ36" s="257">
        <v>0</v>
      </c>
      <c r="BA36" s="257">
        <v>0</v>
      </c>
      <c r="BB36" s="257">
        <f>AZ36*BA36</f>
        <v>0</v>
      </c>
      <c r="BD36" s="250" t="s">
        <v>622</v>
      </c>
      <c r="BE36" s="245"/>
      <c r="BF36" s="245"/>
      <c r="BG36" s="245"/>
      <c r="BH36" s="257">
        <v>1</v>
      </c>
      <c r="BI36" s="257">
        <v>0</v>
      </c>
      <c r="BJ36" s="245"/>
      <c r="BK36" s="257">
        <v>0</v>
      </c>
      <c r="BL36" s="257">
        <v>0</v>
      </c>
      <c r="BM36" s="257">
        <f>BK36*BL36</f>
        <v>0</v>
      </c>
      <c r="BO36" s="248"/>
      <c r="BP36" s="338" t="s">
        <v>619</v>
      </c>
      <c r="BQ36" s="338" t="s">
        <v>620</v>
      </c>
      <c r="BR36" s="338"/>
      <c r="BS36" s="338" t="s">
        <v>621</v>
      </c>
      <c r="BT36" s="338"/>
      <c r="BU36" s="245"/>
      <c r="BV36" s="338" t="s">
        <v>576</v>
      </c>
      <c r="BW36" s="338" t="s">
        <v>103</v>
      </c>
      <c r="BX36" s="338" t="s">
        <v>577</v>
      </c>
      <c r="BZ36" s="250" t="s">
        <v>622</v>
      </c>
      <c r="CA36" s="245"/>
      <c r="CB36" s="245"/>
      <c r="CC36" s="245"/>
      <c r="CD36" s="257">
        <v>1</v>
      </c>
      <c r="CE36" s="257">
        <v>0</v>
      </c>
      <c r="CF36" s="245"/>
      <c r="CG36" s="257">
        <v>0</v>
      </c>
      <c r="CH36" s="257">
        <v>0</v>
      </c>
      <c r="CI36" s="257">
        <f>CG36*CH36</f>
        <v>0</v>
      </c>
      <c r="CK36" s="250" t="s">
        <v>622</v>
      </c>
      <c r="CL36" s="245"/>
      <c r="CM36" s="245"/>
      <c r="CN36" s="245"/>
      <c r="CO36" s="257">
        <v>1</v>
      </c>
      <c r="CP36" s="257">
        <v>0</v>
      </c>
      <c r="CQ36" s="245"/>
      <c r="CR36" s="257">
        <v>0</v>
      </c>
      <c r="CS36" s="257">
        <v>0</v>
      </c>
      <c r="CT36" s="257">
        <f>CR36*CS36</f>
        <v>0</v>
      </c>
      <c r="CV36" s="248"/>
      <c r="CW36" s="338"/>
      <c r="CX36" s="338"/>
      <c r="CY36" s="338"/>
      <c r="CZ36" s="338"/>
      <c r="DA36" s="338"/>
      <c r="DB36" s="245"/>
      <c r="DC36" s="338"/>
      <c r="DD36" s="338"/>
      <c r="DE36" s="338"/>
      <c r="DG36" s="248"/>
      <c r="DH36" s="338"/>
      <c r="DI36" s="338"/>
      <c r="DJ36" s="338"/>
      <c r="DK36" s="338"/>
      <c r="DL36" s="338"/>
      <c r="DM36" s="245"/>
      <c r="DN36" s="338"/>
      <c r="DO36" s="338"/>
      <c r="DP36" s="338"/>
      <c r="DR36" s="248"/>
      <c r="DS36" s="338"/>
      <c r="DT36" s="338"/>
      <c r="DU36" s="338"/>
      <c r="DV36" s="338"/>
      <c r="DW36" s="338"/>
      <c r="DX36" s="245"/>
      <c r="DY36" s="338"/>
      <c r="DZ36" s="338"/>
      <c r="EA36" s="338"/>
      <c r="EC36" s="250" t="s">
        <v>666</v>
      </c>
      <c r="ED36" s="255">
        <v>3.5</v>
      </c>
      <c r="EE36" s="255">
        <v>0</v>
      </c>
      <c r="EF36" s="258">
        <f ca="1">VALUE(Width)+1.625</f>
        <v>1.625</v>
      </c>
      <c r="EG36" s="343">
        <v>0.28299999999999997</v>
      </c>
      <c r="EH36" s="390">
        <v>1</v>
      </c>
      <c r="EI36" s="347">
        <f ca="1">((PI()*EF36*EG36/4)*(ED36^2-EE36^2))*EH36</f>
        <v>4.4245160098069185</v>
      </c>
      <c r="EJ36" s="348">
        <f ca="1">(((EI36/386.4)*(ED36^2+EE36^2))/8)</f>
        <v>1.7533747774370716E-2</v>
      </c>
      <c r="EK36" s="341" t="e">
        <f ca="1">(ED36/ED6)*Ratio</f>
        <v>#N/A</v>
      </c>
      <c r="EL36" s="349" t="e">
        <f ca="1">(EJ36/(EK36^2))</f>
        <v>#N/A</v>
      </c>
      <c r="EN36" s="250" t="s">
        <v>666</v>
      </c>
      <c r="EO36" s="255">
        <v>5</v>
      </c>
      <c r="EP36" s="255">
        <v>0</v>
      </c>
      <c r="EQ36" s="258">
        <f ca="1">VALUE(Width)+1.625</f>
        <v>1.625</v>
      </c>
      <c r="ER36" s="343">
        <v>0.28299999999999997</v>
      </c>
      <c r="ES36" s="390">
        <v>1</v>
      </c>
      <c r="ET36" s="347">
        <f ca="1">((PI()*EQ36*ER36/4)*(EO36^2-EP36^2))*ES36</f>
        <v>9.0296245098100378</v>
      </c>
      <c r="EU36" s="348">
        <f ca="1">(((ET36/386.4)*(EO36^2+EP36^2))/8)</f>
        <v>7.3026854537154157E-2</v>
      </c>
      <c r="EV36" s="341" t="e">
        <f ca="1">(EO36/EO6)*Ratio</f>
        <v>#N/A</v>
      </c>
      <c r="EW36" s="349" t="e">
        <f ca="1">(EU36/(EV36^2))</f>
        <v>#N/A</v>
      </c>
      <c r="EY36" s="250" t="s">
        <v>666</v>
      </c>
      <c r="EZ36" s="255">
        <v>3.5</v>
      </c>
      <c r="FA36" s="255">
        <v>0</v>
      </c>
      <c r="FB36" s="258">
        <f ca="1">VALUE(Width)+1.625</f>
        <v>1.625</v>
      </c>
      <c r="FC36" s="343">
        <v>0.28299999999999997</v>
      </c>
      <c r="FD36" s="390">
        <v>1</v>
      </c>
      <c r="FE36" s="347">
        <f ca="1">((PI()*FB36*FC36/4)*(EZ36^2-FA36^2))*FD36</f>
        <v>4.4245160098069185</v>
      </c>
      <c r="FF36" s="348">
        <f ca="1">(((FE36/386.4)*(EZ36^2+FA36^2))/8)</f>
        <v>1.7533747774370716E-2</v>
      </c>
      <c r="FG36" s="341" t="e">
        <f ca="1">(EZ36/EZ6)*Ratio</f>
        <v>#N/A</v>
      </c>
      <c r="FH36" s="349" t="e">
        <f ca="1">(FF36/(FG36^2))</f>
        <v>#N/A</v>
      </c>
      <c r="FJ36" s="250" t="s">
        <v>666</v>
      </c>
      <c r="FK36" s="255">
        <v>5</v>
      </c>
      <c r="FL36" s="255">
        <v>0</v>
      </c>
      <c r="FM36" s="258">
        <f ca="1">VALUE(Width)+1.625</f>
        <v>1.625</v>
      </c>
      <c r="FN36" s="343">
        <v>0.28299999999999997</v>
      </c>
      <c r="FO36" s="390">
        <v>1</v>
      </c>
      <c r="FP36" s="347">
        <f ca="1">((PI()*FM36*FN36/4)*(FK36^2-FL36^2))*FO36</f>
        <v>9.0296245098100378</v>
      </c>
      <c r="FQ36" s="348">
        <f ca="1">(((FP36/386.4)*(FK36^2+FL36^2))/8)</f>
        <v>7.3026854537154157E-2</v>
      </c>
      <c r="FR36" s="341" t="e">
        <f ca="1">(FK36/FK6)*Ratio</f>
        <v>#N/A</v>
      </c>
      <c r="FS36" s="349" t="e">
        <f ca="1">(FQ36/(FR36^2))</f>
        <v>#N/A</v>
      </c>
      <c r="FU36" s="250" t="s">
        <v>666</v>
      </c>
      <c r="FV36" s="255">
        <v>5</v>
      </c>
      <c r="FW36" s="255">
        <v>0</v>
      </c>
      <c r="FX36" s="258">
        <f ca="1">VALUE(Width)+1.625</f>
        <v>1.625</v>
      </c>
      <c r="FY36" s="343">
        <v>0.28299999999999997</v>
      </c>
      <c r="FZ36" s="390">
        <v>1</v>
      </c>
      <c r="GA36" s="347">
        <f ca="1">((PI()*FX36*FY36/4)*(FV36^2-FW36^2))*FZ36</f>
        <v>9.0296245098100378</v>
      </c>
      <c r="GB36" s="348">
        <f ca="1">(((GA36/386.4)*(FV36^2+FW36^2))/8)</f>
        <v>7.3026854537154157E-2</v>
      </c>
      <c r="GC36" s="341" t="e">
        <f ca="1">(FV36/FV6)*Ratio</f>
        <v>#N/A</v>
      </c>
      <c r="GD36" s="349" t="e">
        <f ca="1">(GB36/(GC36^2))</f>
        <v>#N/A</v>
      </c>
    </row>
    <row r="37" spans="1:186" ht="15.75" x14ac:dyDescent="0.25">
      <c r="A37" s="250"/>
      <c r="B37" s="261"/>
      <c r="C37" s="245"/>
      <c r="D37" s="245"/>
      <c r="E37" s="245"/>
      <c r="F37" s="245"/>
      <c r="G37" s="245"/>
      <c r="H37" s="245"/>
      <c r="I37" s="245"/>
      <c r="J37" s="245"/>
      <c r="L37" s="250"/>
      <c r="M37" s="261"/>
      <c r="N37" s="245"/>
      <c r="O37" s="245"/>
      <c r="P37" s="245"/>
      <c r="Q37" s="245"/>
      <c r="R37" s="245"/>
      <c r="S37" s="245"/>
      <c r="T37" s="245"/>
      <c r="U37" s="245"/>
      <c r="W37" s="250"/>
      <c r="X37" s="261"/>
      <c r="Y37" s="245"/>
      <c r="Z37" s="245"/>
      <c r="AA37" s="245"/>
      <c r="AB37" s="245"/>
      <c r="AC37" s="245"/>
      <c r="AD37" s="245"/>
      <c r="AE37" s="245"/>
      <c r="AF37" s="245"/>
      <c r="AH37" s="250"/>
      <c r="AI37" s="261"/>
      <c r="AJ37" s="245"/>
      <c r="AK37" s="245"/>
      <c r="AL37" s="245"/>
      <c r="AM37" s="245"/>
      <c r="AN37" s="245"/>
      <c r="AO37" s="245"/>
      <c r="AP37" s="245"/>
      <c r="AQ37" s="245"/>
      <c r="AS37" s="250"/>
      <c r="AT37" s="245"/>
      <c r="AU37" s="245"/>
      <c r="AV37" s="245"/>
      <c r="AW37" s="245"/>
      <c r="AX37" s="245"/>
      <c r="AY37" s="245"/>
      <c r="AZ37" s="245"/>
      <c r="BA37" s="245"/>
      <c r="BB37" s="245"/>
      <c r="BD37" s="250"/>
      <c r="BE37" s="245"/>
      <c r="BF37" s="245"/>
      <c r="BG37" s="245"/>
      <c r="BH37" s="245"/>
      <c r="BI37" s="245"/>
      <c r="BJ37" s="245"/>
      <c r="BK37" s="245"/>
      <c r="BL37" s="245"/>
      <c r="BM37" s="245"/>
      <c r="BO37" s="250" t="s">
        <v>622</v>
      </c>
      <c r="BP37" s="245"/>
      <c r="BQ37" s="245"/>
      <c r="BR37" s="245"/>
      <c r="BS37" s="257">
        <v>1</v>
      </c>
      <c r="BT37" s="257">
        <v>0</v>
      </c>
      <c r="BU37" s="245"/>
      <c r="BV37" s="257">
        <v>0</v>
      </c>
      <c r="BW37" s="257">
        <v>0</v>
      </c>
      <c r="BX37" s="257">
        <f>BV37*BW37</f>
        <v>0</v>
      </c>
      <c r="CK37" s="250"/>
      <c r="CL37" s="338" t="s">
        <v>114</v>
      </c>
      <c r="CM37" s="338" t="s">
        <v>623</v>
      </c>
      <c r="CN37" s="338" t="s">
        <v>624</v>
      </c>
      <c r="CO37" s="338" t="s">
        <v>625</v>
      </c>
      <c r="CP37" s="338" t="s">
        <v>626</v>
      </c>
      <c r="CQ37" s="338" t="s">
        <v>575</v>
      </c>
      <c r="CR37" s="338" t="s">
        <v>576</v>
      </c>
      <c r="CS37" s="338" t="s">
        <v>103</v>
      </c>
      <c r="CT37" s="338" t="s">
        <v>577</v>
      </c>
      <c r="CV37" s="250" t="s">
        <v>622</v>
      </c>
      <c r="CW37" s="1037"/>
      <c r="CX37" s="1037"/>
      <c r="CY37" s="1038"/>
      <c r="CZ37" s="257">
        <v>1</v>
      </c>
      <c r="DA37" s="257">
        <v>0</v>
      </c>
      <c r="DB37" s="245"/>
      <c r="DC37" s="257">
        <v>0</v>
      </c>
      <c r="DD37" s="257">
        <v>0</v>
      </c>
      <c r="DE37" s="257">
        <f>DC37*DA37</f>
        <v>0</v>
      </c>
      <c r="DG37" s="250" t="s">
        <v>622</v>
      </c>
      <c r="DH37" s="1037"/>
      <c r="DI37" s="1037"/>
      <c r="DJ37" s="1038"/>
      <c r="DK37" s="257">
        <v>1</v>
      </c>
      <c r="DL37" s="257">
        <v>0</v>
      </c>
      <c r="DM37" s="245"/>
      <c r="DN37" s="257">
        <v>0</v>
      </c>
      <c r="DO37" s="257">
        <v>0</v>
      </c>
      <c r="DP37" s="257">
        <f>DN37*DL37</f>
        <v>0</v>
      </c>
      <c r="DR37" s="250" t="s">
        <v>622</v>
      </c>
      <c r="DS37" s="1037"/>
      <c r="DT37" s="1037"/>
      <c r="DU37" s="1038"/>
      <c r="DV37" s="257">
        <v>1</v>
      </c>
      <c r="DW37" s="257">
        <v>0</v>
      </c>
      <c r="DX37" s="245"/>
      <c r="DY37" s="257">
        <v>0</v>
      </c>
      <c r="DZ37" s="257">
        <v>0</v>
      </c>
      <c r="EA37" s="257">
        <f>DY37*DW37</f>
        <v>0</v>
      </c>
    </row>
    <row r="38" spans="1:186" ht="15.75" x14ac:dyDescent="0.25">
      <c r="A38" s="250"/>
      <c r="B38" s="261"/>
      <c r="C38" s="245"/>
      <c r="D38" s="245"/>
      <c r="E38" s="245"/>
      <c r="F38" s="245"/>
      <c r="G38" s="245"/>
      <c r="H38" s="245"/>
      <c r="I38" s="245"/>
      <c r="J38" s="245"/>
      <c r="L38" s="250"/>
      <c r="M38" s="261"/>
      <c r="N38" s="245"/>
      <c r="O38" s="245"/>
      <c r="P38" s="245"/>
      <c r="Q38" s="245"/>
      <c r="R38" s="245"/>
      <c r="S38" s="245"/>
      <c r="T38" s="245"/>
      <c r="U38" s="245"/>
      <c r="W38" s="250"/>
      <c r="X38" s="261"/>
      <c r="Y38" s="245"/>
      <c r="Z38" s="245"/>
      <c r="AA38" s="245"/>
      <c r="AB38" s="245"/>
      <c r="AC38" s="245"/>
      <c r="AD38" s="245"/>
      <c r="AE38" s="245"/>
      <c r="AF38" s="245"/>
      <c r="AH38" s="250"/>
      <c r="AI38" s="261"/>
      <c r="AJ38" s="245"/>
      <c r="AK38" s="245"/>
      <c r="AL38" s="245"/>
      <c r="AM38" s="245"/>
      <c r="AN38" s="245"/>
      <c r="AO38" s="245"/>
      <c r="AP38" s="245"/>
      <c r="AQ38" s="245"/>
      <c r="AS38" s="250"/>
      <c r="AT38" s="245"/>
      <c r="AU38" s="245"/>
      <c r="AV38" s="245"/>
      <c r="AW38" s="245"/>
      <c r="AX38" s="245"/>
      <c r="AY38" s="245"/>
      <c r="AZ38" s="245"/>
      <c r="BA38" s="245"/>
      <c r="BB38" s="245"/>
      <c r="BD38" s="250"/>
      <c r="BE38" s="245"/>
      <c r="BF38" s="245"/>
      <c r="BG38" s="245"/>
      <c r="BH38" s="245"/>
      <c r="BI38" s="245"/>
      <c r="BJ38" s="245"/>
      <c r="BK38" s="245"/>
      <c r="BL38" s="245"/>
      <c r="BM38" s="245"/>
      <c r="CK38" s="250" t="s">
        <v>628</v>
      </c>
      <c r="CL38" s="338">
        <f ca="1">MatWidth</f>
        <v>18</v>
      </c>
      <c r="CM38" s="338">
        <f ca="1">MatThickness</f>
        <v>0.25</v>
      </c>
      <c r="CN38" s="338">
        <f ca="1">MatLnFLT</f>
        <v>24</v>
      </c>
      <c r="CO38" s="338">
        <f ca="1">MatDensity</f>
        <v>0.28299999999999997</v>
      </c>
      <c r="CP38" s="338">
        <f ca="1">MatLoop</f>
        <v>282.74333882308139</v>
      </c>
      <c r="CQ38" s="259">
        <f ca="1">CL38*CM38*CO38*CP38</f>
        <v>360.07364199119411</v>
      </c>
      <c r="CR38" s="260">
        <f ca="1">((CL38*CM38*CN38*CO38)/32.3)*(((CL7*0.5)^2)/144)*12</f>
        <v>0.31541795665634675</v>
      </c>
      <c r="CS38" s="257" t="e">
        <f ca="1">Ratio</f>
        <v>#N/A</v>
      </c>
      <c r="CT38" s="260" t="e">
        <f ca="1">CR38/(CS38^2)</f>
        <v>#N/A</v>
      </c>
      <c r="CV38" s="250"/>
      <c r="CW38" s="245"/>
      <c r="CX38" s="245"/>
      <c r="CY38" s="257"/>
      <c r="CZ38" s="245"/>
      <c r="DA38" s="245"/>
      <c r="DB38" s="245"/>
      <c r="DC38" s="245"/>
      <c r="DD38" s="245"/>
      <c r="DE38" s="245"/>
      <c r="DG38" s="250"/>
      <c r="DH38" s="245"/>
      <c r="DI38" s="245"/>
      <c r="DJ38" s="257"/>
      <c r="DK38" s="245"/>
      <c r="DL38" s="245"/>
      <c r="DM38" s="245"/>
      <c r="DN38" s="245"/>
      <c r="DO38" s="245"/>
      <c r="DP38" s="245"/>
      <c r="DR38" s="250"/>
      <c r="DS38" s="245"/>
      <c r="DT38" s="245"/>
      <c r="DU38" s="257"/>
      <c r="DV38" s="245"/>
      <c r="DW38" s="245"/>
      <c r="DX38" s="245"/>
      <c r="DY38" s="245"/>
      <c r="DZ38" s="245"/>
      <c r="EA38" s="245"/>
      <c r="EC38" s="248"/>
      <c r="ED38" s="338" t="s">
        <v>619</v>
      </c>
      <c r="EE38" s="338" t="s">
        <v>620</v>
      </c>
      <c r="EF38" s="338"/>
      <c r="EG38" s="338" t="s">
        <v>621</v>
      </c>
      <c r="EH38" s="338" t="s">
        <v>574</v>
      </c>
      <c r="EI38" s="245"/>
      <c r="EJ38" s="338" t="s">
        <v>576</v>
      </c>
      <c r="EK38" s="338" t="s">
        <v>103</v>
      </c>
      <c r="EL38" s="338" t="s">
        <v>577</v>
      </c>
      <c r="EN38" s="248"/>
      <c r="EO38" s="338" t="s">
        <v>619</v>
      </c>
      <c r="EP38" s="338" t="s">
        <v>620</v>
      </c>
      <c r="EQ38" s="338"/>
      <c r="ER38" s="338" t="s">
        <v>621</v>
      </c>
      <c r="ES38" s="338" t="s">
        <v>574</v>
      </c>
      <c r="ET38" s="245"/>
      <c r="EU38" s="338" t="s">
        <v>576</v>
      </c>
      <c r="EV38" s="338" t="s">
        <v>103</v>
      </c>
      <c r="EW38" s="338" t="s">
        <v>577</v>
      </c>
      <c r="EY38" s="248"/>
      <c r="EZ38" s="338" t="s">
        <v>619</v>
      </c>
      <c r="FA38" s="338" t="s">
        <v>620</v>
      </c>
      <c r="FB38" s="338"/>
      <c r="FC38" s="338" t="s">
        <v>621</v>
      </c>
      <c r="FD38" s="338" t="s">
        <v>574</v>
      </c>
      <c r="FE38" s="245"/>
      <c r="FF38" s="338" t="s">
        <v>576</v>
      </c>
      <c r="FG38" s="338" t="s">
        <v>103</v>
      </c>
      <c r="FH38" s="338" t="s">
        <v>577</v>
      </c>
      <c r="FJ38" s="248"/>
      <c r="FK38" s="338" t="s">
        <v>619</v>
      </c>
      <c r="FL38" s="338" t="s">
        <v>620</v>
      </c>
      <c r="FM38" s="338"/>
      <c r="FN38" s="338" t="s">
        <v>621</v>
      </c>
      <c r="FO38" s="338" t="s">
        <v>574</v>
      </c>
      <c r="FP38" s="245"/>
      <c r="FQ38" s="338" t="s">
        <v>576</v>
      </c>
      <c r="FR38" s="338" t="s">
        <v>103</v>
      </c>
      <c r="FS38" s="338" t="s">
        <v>577</v>
      </c>
      <c r="FU38" s="248"/>
      <c r="FV38" s="338" t="s">
        <v>619</v>
      </c>
      <c r="FW38" s="338" t="s">
        <v>620</v>
      </c>
      <c r="FX38" s="338"/>
      <c r="FY38" s="338" t="s">
        <v>621</v>
      </c>
      <c r="FZ38" s="338" t="s">
        <v>574</v>
      </c>
      <c r="GA38" s="245"/>
      <c r="GB38" s="338" t="s">
        <v>576</v>
      </c>
      <c r="GC38" s="338" t="s">
        <v>103</v>
      </c>
      <c r="GD38" s="338" t="s">
        <v>577</v>
      </c>
    </row>
    <row r="39" spans="1:186" ht="15.75" x14ac:dyDescent="0.25">
      <c r="A39" s="250"/>
      <c r="B39" s="245"/>
      <c r="C39" s="245"/>
      <c r="D39" s="245"/>
      <c r="E39" s="245"/>
      <c r="F39" s="245"/>
      <c r="G39" s="245"/>
      <c r="H39" s="245"/>
      <c r="I39" s="245"/>
      <c r="J39" s="245"/>
      <c r="L39" s="250"/>
      <c r="M39" s="245"/>
      <c r="N39" s="245"/>
      <c r="O39" s="245"/>
      <c r="P39" s="245"/>
      <c r="Q39" s="245"/>
      <c r="R39" s="245"/>
      <c r="S39" s="245"/>
      <c r="T39" s="245"/>
      <c r="U39" s="245"/>
      <c r="W39" s="250"/>
      <c r="X39" s="245"/>
      <c r="Y39" s="245"/>
      <c r="Z39" s="245"/>
      <c r="AA39" s="245"/>
      <c r="AB39" s="245"/>
      <c r="AC39" s="245"/>
      <c r="AD39" s="245"/>
      <c r="AE39" s="245"/>
      <c r="AF39" s="245"/>
      <c r="AH39" s="250"/>
      <c r="AI39" s="245"/>
      <c r="AJ39" s="245"/>
      <c r="AK39" s="245"/>
      <c r="AL39" s="245"/>
      <c r="AM39" s="245"/>
      <c r="AN39" s="245"/>
      <c r="AO39" s="245"/>
      <c r="AP39" s="245"/>
      <c r="AQ39" s="245"/>
      <c r="AS39" s="250"/>
      <c r="AT39" s="338" t="s">
        <v>114</v>
      </c>
      <c r="AU39" s="338" t="s">
        <v>623</v>
      </c>
      <c r="AV39" s="338" t="s">
        <v>624</v>
      </c>
      <c r="AW39" s="338" t="s">
        <v>625</v>
      </c>
      <c r="AX39" s="338" t="s">
        <v>626</v>
      </c>
      <c r="AY39" s="338" t="s">
        <v>575</v>
      </c>
      <c r="AZ39" s="338" t="s">
        <v>576</v>
      </c>
      <c r="BA39" s="338" t="s">
        <v>103</v>
      </c>
      <c r="BB39" s="338" t="s">
        <v>577</v>
      </c>
      <c r="BD39" s="250"/>
      <c r="BE39" s="338" t="s">
        <v>114</v>
      </c>
      <c r="BF39" s="338" t="s">
        <v>623</v>
      </c>
      <c r="BG39" s="338" t="s">
        <v>624</v>
      </c>
      <c r="BH39" s="338" t="s">
        <v>625</v>
      </c>
      <c r="BI39" s="338" t="s">
        <v>626</v>
      </c>
      <c r="BJ39" s="338" t="s">
        <v>575</v>
      </c>
      <c r="BK39" s="338" t="s">
        <v>576</v>
      </c>
      <c r="BL39" s="338" t="s">
        <v>103</v>
      </c>
      <c r="BM39" s="338" t="s">
        <v>577</v>
      </c>
      <c r="BO39" s="250"/>
      <c r="BP39" s="338" t="s">
        <v>114</v>
      </c>
      <c r="BQ39" s="338" t="s">
        <v>623</v>
      </c>
      <c r="BR39" s="338" t="s">
        <v>624</v>
      </c>
      <c r="BS39" s="338" t="s">
        <v>625</v>
      </c>
      <c r="BT39" s="338" t="s">
        <v>626</v>
      </c>
      <c r="BU39" s="338" t="s">
        <v>575</v>
      </c>
      <c r="BV39" s="338" t="s">
        <v>576</v>
      </c>
      <c r="BW39" s="338" t="s">
        <v>103</v>
      </c>
      <c r="BX39" s="338" t="s">
        <v>577</v>
      </c>
      <c r="BZ39" s="250"/>
      <c r="CA39" s="338" t="s">
        <v>114</v>
      </c>
      <c r="CB39" s="338" t="s">
        <v>623</v>
      </c>
      <c r="CC39" s="338" t="s">
        <v>624</v>
      </c>
      <c r="CD39" s="338" t="s">
        <v>625</v>
      </c>
      <c r="CE39" s="338" t="s">
        <v>626</v>
      </c>
      <c r="CF39" s="338" t="s">
        <v>575</v>
      </c>
      <c r="CG39" s="338" t="s">
        <v>576</v>
      </c>
      <c r="CH39" s="338" t="s">
        <v>103</v>
      </c>
      <c r="CI39" s="338" t="s">
        <v>577</v>
      </c>
      <c r="CK39" s="250"/>
      <c r="CL39" s="261"/>
      <c r="CM39" s="245"/>
      <c r="CN39" s="245"/>
      <c r="CO39" s="245"/>
      <c r="CP39" s="245"/>
      <c r="CQ39" s="245"/>
      <c r="CR39" s="245"/>
      <c r="CS39" s="245"/>
      <c r="CT39" s="245"/>
      <c r="CV39" s="250"/>
      <c r="CW39" s="245"/>
      <c r="CX39" s="245"/>
      <c r="CY39" s="245"/>
      <c r="CZ39" s="245"/>
      <c r="DA39" s="245"/>
      <c r="DB39" s="245"/>
      <c r="DC39" s="245"/>
      <c r="DD39" s="245"/>
      <c r="DE39" s="245"/>
      <c r="DG39" s="250"/>
      <c r="DH39" s="245"/>
      <c r="DI39" s="245"/>
      <c r="DJ39" s="245"/>
      <c r="DK39" s="245"/>
      <c r="DL39" s="245"/>
      <c r="DM39" s="245"/>
      <c r="DN39" s="245"/>
      <c r="DO39" s="245"/>
      <c r="DP39" s="245"/>
      <c r="DR39" s="250"/>
      <c r="DS39" s="245"/>
      <c r="DT39" s="245"/>
      <c r="DU39" s="245"/>
      <c r="DV39" s="245"/>
      <c r="DW39" s="245"/>
      <c r="DX39" s="245"/>
      <c r="DY39" s="245"/>
      <c r="DZ39" s="245"/>
      <c r="EA39" s="245"/>
      <c r="EC39" s="250" t="s">
        <v>622</v>
      </c>
      <c r="ED39" s="1037" t="s">
        <v>803</v>
      </c>
      <c r="EE39" s="1037"/>
      <c r="EF39" s="1038"/>
      <c r="EG39" s="257">
        <v>0.97</v>
      </c>
      <c r="EH39" s="257">
        <v>1</v>
      </c>
      <c r="EI39" s="245"/>
      <c r="EJ39" s="257">
        <v>3.2000000000000001E-2</v>
      </c>
      <c r="EK39" s="257">
        <v>5</v>
      </c>
      <c r="EL39" s="257">
        <f>EJ39*EH39</f>
        <v>3.2000000000000001E-2</v>
      </c>
      <c r="EN39" s="250" t="s">
        <v>622</v>
      </c>
      <c r="EO39" s="1037" t="s">
        <v>803</v>
      </c>
      <c r="EP39" s="1037"/>
      <c r="EQ39" s="1038"/>
      <c r="ER39" s="257">
        <v>0.97</v>
      </c>
      <c r="ES39" s="257">
        <v>1</v>
      </c>
      <c r="ET39" s="245"/>
      <c r="EU39" s="257">
        <v>3.2000000000000001E-2</v>
      </c>
      <c r="EV39" s="257">
        <v>5</v>
      </c>
      <c r="EW39" s="257">
        <f>EU39*ES39</f>
        <v>3.2000000000000001E-2</v>
      </c>
      <c r="EY39" s="250" t="s">
        <v>622</v>
      </c>
      <c r="EZ39" s="1037" t="s">
        <v>802</v>
      </c>
      <c r="FA39" s="1037"/>
      <c r="FB39" s="1038"/>
      <c r="FC39" s="257">
        <v>0.97</v>
      </c>
      <c r="FD39" s="257">
        <v>1</v>
      </c>
      <c r="FE39" s="245"/>
      <c r="FF39" s="257">
        <v>8.8999999999999996E-2</v>
      </c>
      <c r="FG39" s="257">
        <v>5</v>
      </c>
      <c r="FH39" s="257">
        <f>FF39*FD39</f>
        <v>8.8999999999999996E-2</v>
      </c>
      <c r="FJ39" s="250" t="s">
        <v>622</v>
      </c>
      <c r="FK39" s="1037" t="s">
        <v>802</v>
      </c>
      <c r="FL39" s="1037"/>
      <c r="FM39" s="1038"/>
      <c r="FN39" s="257">
        <v>0.97</v>
      </c>
      <c r="FO39" s="257">
        <v>1</v>
      </c>
      <c r="FP39" s="245"/>
      <c r="FQ39" s="257">
        <v>8.8999999999999996E-2</v>
      </c>
      <c r="FR39" s="257">
        <v>5</v>
      </c>
      <c r="FS39" s="257">
        <f>FQ39*FO39</f>
        <v>8.8999999999999996E-2</v>
      </c>
      <c r="FU39" s="250" t="s">
        <v>622</v>
      </c>
      <c r="FV39" s="1037" t="s">
        <v>802</v>
      </c>
      <c r="FW39" s="1037"/>
      <c r="FX39" s="1038"/>
      <c r="FY39" s="257">
        <v>0.97</v>
      </c>
      <c r="FZ39" s="257">
        <v>1</v>
      </c>
      <c r="GA39" s="245"/>
      <c r="GB39" s="257">
        <v>8.8999999999999996E-2</v>
      </c>
      <c r="GC39" s="257">
        <v>5</v>
      </c>
      <c r="GD39" s="257">
        <f>GB39*FZ39</f>
        <v>8.8999999999999996E-2</v>
      </c>
    </row>
    <row r="40" spans="1:186" ht="15.75" x14ac:dyDescent="0.25">
      <c r="A40" s="250" t="s">
        <v>104</v>
      </c>
      <c r="B40" s="245"/>
      <c r="C40" s="245"/>
      <c r="D40" s="245"/>
      <c r="E40" s="245"/>
      <c r="F40" s="245"/>
      <c r="G40" s="245"/>
      <c r="H40" s="245"/>
      <c r="I40" s="245"/>
      <c r="J40" s="245"/>
      <c r="L40" s="250" t="s">
        <v>104</v>
      </c>
      <c r="M40" s="245"/>
      <c r="N40" s="245"/>
      <c r="O40" s="245"/>
      <c r="P40" s="245"/>
      <c r="Q40" s="245"/>
      <c r="R40" s="245"/>
      <c r="S40" s="245"/>
      <c r="T40" s="245"/>
      <c r="U40" s="245"/>
      <c r="W40" s="250" t="s">
        <v>104</v>
      </c>
      <c r="X40" s="245"/>
      <c r="Y40" s="245"/>
      <c r="Z40" s="245"/>
      <c r="AA40" s="245"/>
      <c r="AB40" s="245"/>
      <c r="AC40" s="245"/>
      <c r="AD40" s="245"/>
      <c r="AE40" s="245"/>
      <c r="AF40" s="245"/>
      <c r="AH40" s="250" t="s">
        <v>104</v>
      </c>
      <c r="AI40" s="245"/>
      <c r="AJ40" s="245"/>
      <c r="AK40" s="245"/>
      <c r="AL40" s="245"/>
      <c r="AM40" s="245"/>
      <c r="AN40" s="245"/>
      <c r="AO40" s="245"/>
      <c r="AP40" s="245"/>
      <c r="AQ40" s="245"/>
      <c r="AS40" s="250" t="s">
        <v>628</v>
      </c>
      <c r="AT40" s="338">
        <f ca="1">MatWidth</f>
        <v>18</v>
      </c>
      <c r="AU40" s="338">
        <f ca="1">MatThickness</f>
        <v>0.25</v>
      </c>
      <c r="AV40" s="338">
        <f ca="1">MatLnFLT</f>
        <v>24</v>
      </c>
      <c r="AW40" s="338">
        <f ca="1">MatDensity</f>
        <v>0.28299999999999997</v>
      </c>
      <c r="AX40" s="338">
        <f ca="1">MatLoop</f>
        <v>282.74333882308139</v>
      </c>
      <c r="AY40" s="259">
        <f ca="1">AT40*AU40*AW40*AX40</f>
        <v>360.07364199119411</v>
      </c>
      <c r="AZ40" s="260">
        <f ca="1">((AT40*AU40*AV40*AW40)/32.3)*(((AT7*0.5)^2)/144)*12</f>
        <v>0.17742260061919504</v>
      </c>
      <c r="BA40" s="257" t="e">
        <f ca="1">Ratio</f>
        <v>#N/A</v>
      </c>
      <c r="BB40" s="260" t="e">
        <f ca="1">AZ40/(BA40^2)</f>
        <v>#N/A</v>
      </c>
      <c r="BD40" s="250" t="s">
        <v>628</v>
      </c>
      <c r="BE40" s="338">
        <f ca="1">MatWidth</f>
        <v>18</v>
      </c>
      <c r="BF40" s="338">
        <f ca="1">MatThickness</f>
        <v>0.25</v>
      </c>
      <c r="BG40" s="338">
        <f ca="1">MatLnFLT</f>
        <v>24</v>
      </c>
      <c r="BH40" s="338">
        <f ca="1">MatDensity</f>
        <v>0.28299999999999997</v>
      </c>
      <c r="BI40" s="338">
        <f ca="1">MatLoop</f>
        <v>282.74333882308139</v>
      </c>
      <c r="BJ40" s="259">
        <f ca="1">BE40*BF40*BH40*BI40</f>
        <v>360.07364199119411</v>
      </c>
      <c r="BK40" s="260">
        <f ca="1">((BE40*BF40*BG40*BH40)/32.3)*(((BE7*0.5)^2)/144)*12</f>
        <v>0.17742260061919504</v>
      </c>
      <c r="BL40" s="257" t="e">
        <f ca="1">Ratio</f>
        <v>#N/A</v>
      </c>
      <c r="BM40" s="260" t="e">
        <f ca="1">BK40/(BL40^2)</f>
        <v>#N/A</v>
      </c>
      <c r="BO40" s="250" t="s">
        <v>628</v>
      </c>
      <c r="BP40" s="338">
        <f ca="1">MatWidth</f>
        <v>18</v>
      </c>
      <c r="BQ40" s="338">
        <f ca="1">MatThickness</f>
        <v>0.25</v>
      </c>
      <c r="BR40" s="338">
        <f ca="1">MatLnFLT</f>
        <v>24</v>
      </c>
      <c r="BS40" s="338">
        <f ca="1">MatDensity</f>
        <v>0.28299999999999997</v>
      </c>
      <c r="BT40" s="338">
        <f ca="1">MatLoop</f>
        <v>282.74333882308139</v>
      </c>
      <c r="BU40" s="259">
        <f ca="1">BP40*BQ40*BS40*BT40</f>
        <v>360.07364199119411</v>
      </c>
      <c r="BV40" s="260">
        <f ca="1">((BP40*BQ40*BR40*BS40)/32.3)*(((BP7*0.5)^2)/144)*12</f>
        <v>0.17742260061919504</v>
      </c>
      <c r="BW40" s="257" t="e">
        <f ca="1">Ratio</f>
        <v>#N/A</v>
      </c>
      <c r="BX40" s="260" t="e">
        <f ca="1">BV40/(BW40^2)</f>
        <v>#N/A</v>
      </c>
      <c r="BZ40" s="250" t="s">
        <v>628</v>
      </c>
      <c r="CA40" s="338">
        <f ca="1">MatWidth</f>
        <v>18</v>
      </c>
      <c r="CB40" s="338">
        <f ca="1">MatThickness</f>
        <v>0.25</v>
      </c>
      <c r="CC40" s="338">
        <f ca="1">MatLnFLT</f>
        <v>24</v>
      </c>
      <c r="CD40" s="338">
        <f ca="1">MatDensity</f>
        <v>0.28299999999999997</v>
      </c>
      <c r="CE40" s="338">
        <f ca="1">MatLoop</f>
        <v>282.74333882308139</v>
      </c>
      <c r="CF40" s="259">
        <f ca="1">CA40*CB40*CD40*CE40</f>
        <v>360.07364199119411</v>
      </c>
      <c r="CG40" s="260">
        <f ca="1">((CA40*CB40*CC40*CD40)/32.3)*(((CA7*0.5)^2)/144)*12</f>
        <v>0.31541795665634675</v>
      </c>
      <c r="CH40" s="257" t="e">
        <f ca="1">Ratio</f>
        <v>#N/A</v>
      </c>
      <c r="CI40" s="260" t="e">
        <f ca="1">CG40/(CH40^2)</f>
        <v>#N/A</v>
      </c>
      <c r="CK40" s="250"/>
      <c r="CL40" s="261"/>
      <c r="CM40" s="245"/>
      <c r="CN40" s="245"/>
      <c r="CO40" s="245"/>
      <c r="CP40" s="245"/>
      <c r="CQ40" s="245"/>
      <c r="CR40" s="245"/>
      <c r="CS40" s="245"/>
      <c r="CT40" s="245"/>
      <c r="CV40" s="250"/>
      <c r="CW40" s="338" t="s">
        <v>114</v>
      </c>
      <c r="CX40" s="338" t="s">
        <v>623</v>
      </c>
      <c r="CY40" s="338" t="s">
        <v>624</v>
      </c>
      <c r="CZ40" s="338" t="s">
        <v>625</v>
      </c>
      <c r="DA40" s="338" t="s">
        <v>626</v>
      </c>
      <c r="DB40" s="337" t="s">
        <v>575</v>
      </c>
      <c r="DC40" s="338" t="s">
        <v>576</v>
      </c>
      <c r="DD40" s="338" t="s">
        <v>103</v>
      </c>
      <c r="DE40" s="338" t="s">
        <v>577</v>
      </c>
      <c r="DG40" s="250"/>
      <c r="DH40" s="338" t="s">
        <v>114</v>
      </c>
      <c r="DI40" s="338" t="s">
        <v>623</v>
      </c>
      <c r="DJ40" s="338" t="s">
        <v>624</v>
      </c>
      <c r="DK40" s="338" t="s">
        <v>625</v>
      </c>
      <c r="DL40" s="338" t="s">
        <v>626</v>
      </c>
      <c r="DM40" s="337" t="s">
        <v>575</v>
      </c>
      <c r="DN40" s="338" t="s">
        <v>576</v>
      </c>
      <c r="DO40" s="338" t="s">
        <v>103</v>
      </c>
      <c r="DP40" s="338" t="s">
        <v>577</v>
      </c>
      <c r="DR40" s="250"/>
      <c r="DS40" s="338" t="s">
        <v>114</v>
      </c>
      <c r="DT40" s="338" t="s">
        <v>623</v>
      </c>
      <c r="DU40" s="338" t="s">
        <v>624</v>
      </c>
      <c r="DV40" s="338" t="s">
        <v>625</v>
      </c>
      <c r="DW40" s="338" t="s">
        <v>626</v>
      </c>
      <c r="DX40" s="337" t="s">
        <v>575</v>
      </c>
      <c r="DY40" s="338" t="s">
        <v>576</v>
      </c>
      <c r="DZ40" s="338" t="s">
        <v>103</v>
      </c>
      <c r="EA40" s="338" t="s">
        <v>577</v>
      </c>
      <c r="EC40" s="250"/>
      <c r="ED40" s="338" t="s">
        <v>114</v>
      </c>
      <c r="EE40" s="338" t="s">
        <v>623</v>
      </c>
      <c r="EF40" s="338" t="s">
        <v>624</v>
      </c>
      <c r="EG40" s="338" t="s">
        <v>625</v>
      </c>
      <c r="EH40" s="338" t="s">
        <v>626</v>
      </c>
      <c r="EI40" s="337" t="s">
        <v>575</v>
      </c>
      <c r="EJ40" s="338" t="s">
        <v>576</v>
      </c>
      <c r="EK40" s="338" t="s">
        <v>103</v>
      </c>
      <c r="EL40" s="338" t="s">
        <v>577</v>
      </c>
      <c r="EN40" s="250"/>
      <c r="EO40" s="338" t="s">
        <v>114</v>
      </c>
      <c r="EP40" s="338" t="s">
        <v>623</v>
      </c>
      <c r="EQ40" s="338" t="s">
        <v>624</v>
      </c>
      <c r="ER40" s="338" t="s">
        <v>625</v>
      </c>
      <c r="ES40" s="338" t="s">
        <v>626</v>
      </c>
      <c r="ET40" s="337" t="s">
        <v>575</v>
      </c>
      <c r="EU40" s="338" t="s">
        <v>576</v>
      </c>
      <c r="EV40" s="338" t="s">
        <v>103</v>
      </c>
      <c r="EW40" s="338" t="s">
        <v>577</v>
      </c>
      <c r="EY40" s="250"/>
      <c r="EZ40" s="338" t="s">
        <v>114</v>
      </c>
      <c r="FA40" s="338" t="s">
        <v>623</v>
      </c>
      <c r="FB40" s="338" t="s">
        <v>624</v>
      </c>
      <c r="FC40" s="338" t="s">
        <v>625</v>
      </c>
      <c r="FD40" s="338" t="s">
        <v>626</v>
      </c>
      <c r="FE40" s="337" t="s">
        <v>575</v>
      </c>
      <c r="FF40" s="338" t="s">
        <v>576</v>
      </c>
      <c r="FG40" s="338" t="s">
        <v>103</v>
      </c>
      <c r="FH40" s="338" t="s">
        <v>577</v>
      </c>
      <c r="FJ40" s="250"/>
      <c r="FK40" s="338" t="s">
        <v>114</v>
      </c>
      <c r="FL40" s="338" t="s">
        <v>623</v>
      </c>
      <c r="FM40" s="338" t="s">
        <v>624</v>
      </c>
      <c r="FN40" s="338" t="s">
        <v>625</v>
      </c>
      <c r="FO40" s="338" t="s">
        <v>626</v>
      </c>
      <c r="FP40" s="337" t="s">
        <v>575</v>
      </c>
      <c r="FQ40" s="338" t="s">
        <v>576</v>
      </c>
      <c r="FR40" s="338" t="s">
        <v>103</v>
      </c>
      <c r="FS40" s="338" t="s">
        <v>577</v>
      </c>
      <c r="FU40" s="250"/>
      <c r="FV40" s="338" t="s">
        <v>114</v>
      </c>
      <c r="FW40" s="338" t="s">
        <v>623</v>
      </c>
      <c r="FX40" s="338" t="s">
        <v>624</v>
      </c>
      <c r="FY40" s="338" t="s">
        <v>625</v>
      </c>
      <c r="FZ40" s="338" t="s">
        <v>626</v>
      </c>
      <c r="GA40" s="337" t="s">
        <v>575</v>
      </c>
      <c r="GB40" s="338" t="s">
        <v>576</v>
      </c>
      <c r="GC40" s="338" t="s">
        <v>103</v>
      </c>
      <c r="GD40" s="338" t="s">
        <v>577</v>
      </c>
    </row>
    <row r="41" spans="1:186" ht="15.75" x14ac:dyDescent="0.25">
      <c r="A41" s="250" t="s">
        <v>577</v>
      </c>
      <c r="B41" s="262" t="e">
        <f ca="1">SUM(J7:J36)</f>
        <v>#N/A</v>
      </c>
      <c r="C41" s="245"/>
      <c r="D41" s="245"/>
      <c r="E41" s="245"/>
      <c r="F41" s="245"/>
      <c r="G41" s="245"/>
      <c r="H41" s="245"/>
      <c r="I41" s="245"/>
      <c r="J41" s="245"/>
      <c r="L41" s="250" t="s">
        <v>577</v>
      </c>
      <c r="M41" s="262" t="e">
        <f ca="1">SUM(U7:U36)</f>
        <v>#N/A</v>
      </c>
      <c r="N41" s="245"/>
      <c r="O41" s="245"/>
      <c r="P41" s="245"/>
      <c r="Q41" s="245"/>
      <c r="R41" s="245"/>
      <c r="S41" s="245"/>
      <c r="T41" s="245"/>
      <c r="U41" s="245"/>
      <c r="W41" s="250" t="s">
        <v>577</v>
      </c>
      <c r="X41" s="262" t="e">
        <f ca="1">SUM(AF7:AF36)</f>
        <v>#N/A</v>
      </c>
      <c r="Y41" s="245"/>
      <c r="Z41" s="245"/>
      <c r="AA41" s="245"/>
      <c r="AB41" s="245"/>
      <c r="AC41" s="245"/>
      <c r="AD41" s="245"/>
      <c r="AE41" s="245"/>
      <c r="AF41" s="245"/>
      <c r="AH41" s="250" t="s">
        <v>577</v>
      </c>
      <c r="AI41" s="262" t="e">
        <f ca="1">SUM(AQ7:AQ36)</f>
        <v>#N/A</v>
      </c>
      <c r="AJ41" s="245"/>
      <c r="AK41" s="245"/>
      <c r="AL41" s="245"/>
      <c r="AM41" s="245"/>
      <c r="AN41" s="245"/>
      <c r="AO41" s="245"/>
      <c r="AP41" s="245"/>
      <c r="AQ41" s="245"/>
      <c r="AS41" s="250"/>
      <c r="AT41" s="261"/>
      <c r="AU41" s="245"/>
      <c r="AV41" s="245"/>
      <c r="AW41" s="245"/>
      <c r="AX41" s="245"/>
      <c r="AY41" s="245"/>
      <c r="AZ41" s="245"/>
      <c r="BA41" s="245"/>
      <c r="BB41" s="245"/>
      <c r="BD41" s="250"/>
      <c r="BE41" s="261"/>
      <c r="BF41" s="245"/>
      <c r="BG41" s="245"/>
      <c r="BH41" s="245"/>
      <c r="BI41" s="245"/>
      <c r="BJ41" s="245"/>
      <c r="BK41" s="245"/>
      <c r="BL41" s="245"/>
      <c r="BM41" s="245"/>
      <c r="BO41" s="250"/>
      <c r="BP41" s="245"/>
      <c r="BQ41" s="245"/>
      <c r="BR41" s="245"/>
      <c r="BS41" s="245"/>
      <c r="BT41" s="245"/>
      <c r="BU41" s="245"/>
      <c r="BV41" s="245"/>
      <c r="BW41" s="245"/>
      <c r="BX41" s="245"/>
      <c r="CK41" s="250"/>
      <c r="CL41" s="245"/>
      <c r="CM41" s="245"/>
      <c r="CN41" s="245"/>
      <c r="CO41" s="245"/>
      <c r="CP41" s="245"/>
      <c r="CQ41" s="245"/>
      <c r="CR41" s="245"/>
      <c r="CS41" s="245"/>
      <c r="CT41" s="245"/>
      <c r="CV41" s="250" t="s">
        <v>628</v>
      </c>
      <c r="CW41" s="338">
        <f ca="1">MatWidth</f>
        <v>18</v>
      </c>
      <c r="CX41" s="338">
        <f ca="1">MatThickness</f>
        <v>0.25</v>
      </c>
      <c r="CY41" s="338">
        <f ca="1">MatLnFLT</f>
        <v>24</v>
      </c>
      <c r="CZ41" s="338">
        <f ca="1">MatDensity</f>
        <v>0.28299999999999997</v>
      </c>
      <c r="DA41" s="338">
        <f ca="1">MatLoop</f>
        <v>282.74333882308139</v>
      </c>
      <c r="DB41" s="350">
        <f ca="1">CW41*CX41*CZ41*DA41</f>
        <v>360.07364199119411</v>
      </c>
      <c r="DC41" s="260">
        <f ca="1">((CW41*CX41*CY41*CZ41)/32.3)*(((CW6*0.5)^2)/144)*12</f>
        <v>0.31541795665634675</v>
      </c>
      <c r="DD41" s="257" t="e">
        <f ca="1">Ratio</f>
        <v>#N/A</v>
      </c>
      <c r="DE41" s="260" t="e">
        <f ca="1">DC41/(Ratio^2)</f>
        <v>#N/A</v>
      </c>
      <c r="DG41" s="250" t="s">
        <v>628</v>
      </c>
      <c r="DH41" s="338">
        <f ca="1">MatWidth</f>
        <v>18</v>
      </c>
      <c r="DI41" s="338">
        <f ca="1">MatThickness</f>
        <v>0.25</v>
      </c>
      <c r="DJ41" s="338">
        <f ca="1">MatLnFLT</f>
        <v>24</v>
      </c>
      <c r="DK41" s="338">
        <f ca="1">MatDensity</f>
        <v>0.28299999999999997</v>
      </c>
      <c r="DL41" s="338">
        <f ca="1">MatLoop</f>
        <v>282.74333882308139</v>
      </c>
      <c r="DM41" s="350">
        <f ca="1">DH41*DI41*DK41*DL41</f>
        <v>360.07364199119411</v>
      </c>
      <c r="DN41" s="260">
        <f ca="1">((DH41*DI41*DJ41*DK41)/32.3)*(((DH6*0.5)^2)/144)*12</f>
        <v>0.31541795665634675</v>
      </c>
      <c r="DO41" s="257" t="e">
        <f ca="1">Ratio</f>
        <v>#N/A</v>
      </c>
      <c r="DP41" s="260" t="e">
        <f ca="1">DN41/(Ratio^2)</f>
        <v>#N/A</v>
      </c>
      <c r="DR41" s="250" t="s">
        <v>628</v>
      </c>
      <c r="DS41" s="338">
        <f ca="1">MatWidth</f>
        <v>18</v>
      </c>
      <c r="DT41" s="338">
        <f ca="1">MatThickness</f>
        <v>0.25</v>
      </c>
      <c r="DU41" s="338">
        <f ca="1">MatLnFLT</f>
        <v>24</v>
      </c>
      <c r="DV41" s="338">
        <f ca="1">MatDensity</f>
        <v>0.28299999999999997</v>
      </c>
      <c r="DW41" s="338">
        <f ca="1">MatLoop</f>
        <v>282.74333882308139</v>
      </c>
      <c r="DX41" s="350">
        <f ca="1">DS41*DT41*DV41*DW41</f>
        <v>360.07364199119411</v>
      </c>
      <c r="DY41" s="260">
        <f ca="1">((DS41*DT41*DU41*DV41)/32.3)*(((DS6*0.5)^2)/144)*12</f>
        <v>0.49284055727554182</v>
      </c>
      <c r="DZ41" s="257" t="e">
        <f ca="1">Ratio</f>
        <v>#N/A</v>
      </c>
      <c r="EA41" s="260" t="e">
        <f ca="1">DY41/(Ratio^2)</f>
        <v>#N/A</v>
      </c>
      <c r="EC41" s="250" t="s">
        <v>628</v>
      </c>
      <c r="ED41" s="338">
        <f ca="1">MatWidth</f>
        <v>18</v>
      </c>
      <c r="EE41" s="338">
        <f ca="1">MatThickness</f>
        <v>0.25</v>
      </c>
      <c r="EF41" s="338">
        <f ca="1">MatLnFLT</f>
        <v>24</v>
      </c>
      <c r="EG41" s="338">
        <f ca="1">MatDensity</f>
        <v>0.28299999999999997</v>
      </c>
      <c r="EH41" s="338">
        <f ca="1">MatLoop</f>
        <v>282.74333882308139</v>
      </c>
      <c r="EI41" s="350">
        <f ca="1">ED41*EE41*EG41*EH41</f>
        <v>360.07364199119411</v>
      </c>
      <c r="EJ41" s="260">
        <f ca="1">((ED41*EE41*EF41*EG41)/32.3)*(((ED6*0.5)^2)/144)*12</f>
        <v>0.70969040247678017</v>
      </c>
      <c r="EK41" s="257" t="e">
        <f ca="1">Ratio</f>
        <v>#N/A</v>
      </c>
      <c r="EL41" s="260" t="e">
        <f ca="1">EJ41/(Ratio^2)</f>
        <v>#N/A</v>
      </c>
      <c r="EN41" s="250" t="s">
        <v>628</v>
      </c>
      <c r="EO41" s="338">
        <f ca="1">MatWidth</f>
        <v>18</v>
      </c>
      <c r="EP41" s="338">
        <f ca="1">MatThickness</f>
        <v>0.25</v>
      </c>
      <c r="EQ41" s="338">
        <f ca="1">MatLnFLT</f>
        <v>24</v>
      </c>
      <c r="ER41" s="338">
        <f ca="1">MatDensity</f>
        <v>0.28299999999999997</v>
      </c>
      <c r="ES41" s="338">
        <f ca="1">MatLoop</f>
        <v>282.74333882308139</v>
      </c>
      <c r="ET41" s="350">
        <f ca="1">EO41*EP41*ER41*ES41</f>
        <v>360.07364199119411</v>
      </c>
      <c r="EU41" s="260">
        <f ca="1">((EO41*EP41*EQ41*ER41)/32.3)*(((EO6*0.5)^2)/144)*12</f>
        <v>0.70969040247678017</v>
      </c>
      <c r="EV41" s="257" t="e">
        <f ca="1">Ratio</f>
        <v>#N/A</v>
      </c>
      <c r="EW41" s="260" t="e">
        <f ca="1">EU41/(Ratio^2)</f>
        <v>#N/A</v>
      </c>
      <c r="EY41" s="250" t="s">
        <v>628</v>
      </c>
      <c r="EZ41" s="338">
        <f ca="1">MatWidth</f>
        <v>18</v>
      </c>
      <c r="FA41" s="338">
        <f ca="1">MatThickness</f>
        <v>0.25</v>
      </c>
      <c r="FB41" s="338">
        <f ca="1">MatLnFLT</f>
        <v>24</v>
      </c>
      <c r="FC41" s="338">
        <f ca="1">MatDensity</f>
        <v>0.28299999999999997</v>
      </c>
      <c r="FD41" s="338">
        <f ca="1">MatLoop</f>
        <v>282.74333882308139</v>
      </c>
      <c r="FE41" s="350">
        <f ca="1">EZ41*FA41*FC41*FD41</f>
        <v>360.07364199119411</v>
      </c>
      <c r="FF41" s="260">
        <f ca="1">((EZ41*FA41*FB41*FC41)/32.3)*(((EZ6*0.5)^2)/144)*12</f>
        <v>0.96596749226006196</v>
      </c>
      <c r="FG41" s="257" t="e">
        <f ca="1">Ratio</f>
        <v>#N/A</v>
      </c>
      <c r="FH41" s="260" t="e">
        <f ca="1">FF41/(Ratio^2)</f>
        <v>#N/A</v>
      </c>
      <c r="FJ41" s="250" t="s">
        <v>628</v>
      </c>
      <c r="FK41" s="338">
        <f ca="1">MatWidth</f>
        <v>18</v>
      </c>
      <c r="FL41" s="338">
        <f ca="1">MatThickness</f>
        <v>0.25</v>
      </c>
      <c r="FM41" s="338">
        <f ca="1">MatLnFLT</f>
        <v>24</v>
      </c>
      <c r="FN41" s="338">
        <f ca="1">MatDensity</f>
        <v>0.28299999999999997</v>
      </c>
      <c r="FO41" s="338">
        <f ca="1">MatLoop</f>
        <v>282.74333882308139</v>
      </c>
      <c r="FP41" s="350">
        <f ca="1">FK41*FL41*FN41*FO41</f>
        <v>360.07364199119411</v>
      </c>
      <c r="FQ41" s="260">
        <f ca="1">((FK41*FL41*FM41*FN41)/32.3)*(((FK6*0.5)^2)/144)*12</f>
        <v>0.96596749226006196</v>
      </c>
      <c r="FR41" s="257" t="e">
        <f ca="1">Ratio</f>
        <v>#N/A</v>
      </c>
      <c r="FS41" s="260" t="e">
        <f ca="1">FQ41/(Ratio^2)</f>
        <v>#N/A</v>
      </c>
      <c r="FU41" s="250" t="s">
        <v>628</v>
      </c>
      <c r="FV41" s="338">
        <f ca="1">MatWidth</f>
        <v>18</v>
      </c>
      <c r="FW41" s="338">
        <f ca="1">MatThickness</f>
        <v>0.25</v>
      </c>
      <c r="FX41" s="338">
        <f ca="1">MatLnFLT</f>
        <v>24</v>
      </c>
      <c r="FY41" s="338">
        <f ca="1">MatDensity</f>
        <v>0.28299999999999997</v>
      </c>
      <c r="FZ41" s="338">
        <f ca="1">MatLoop</f>
        <v>282.74333882308139</v>
      </c>
      <c r="GA41" s="350">
        <f ca="1">FV41*FW41*FY41*FZ41</f>
        <v>360.07364199119411</v>
      </c>
      <c r="GB41" s="260">
        <f ca="1">((FV41*FW41*FX41*FY41)/32.3)*(((FV6*0.5)^2)/144)*12</f>
        <v>1.261671826625387</v>
      </c>
      <c r="GC41" s="257" t="e">
        <f ca="1">Ratio</f>
        <v>#N/A</v>
      </c>
      <c r="GD41" s="260" t="e">
        <f ca="1">GB41/(Ratio^2)</f>
        <v>#N/A</v>
      </c>
    </row>
    <row r="42" spans="1:186" ht="15.75" x14ac:dyDescent="0.25">
      <c r="AS42" s="250" t="s">
        <v>104</v>
      </c>
      <c r="AT42" s="245"/>
      <c r="AU42" s="245"/>
      <c r="AV42" s="245"/>
      <c r="AW42" s="245"/>
      <c r="AX42" s="245"/>
      <c r="AY42" s="245"/>
      <c r="AZ42" s="245"/>
      <c r="BA42" s="245"/>
      <c r="BB42" s="245"/>
      <c r="BD42" s="250" t="s">
        <v>104</v>
      </c>
      <c r="BE42" s="245"/>
      <c r="BF42" s="245"/>
      <c r="BG42" s="245"/>
      <c r="BH42" s="245"/>
      <c r="BI42" s="245"/>
      <c r="BJ42" s="245"/>
      <c r="BK42" s="245"/>
      <c r="BL42" s="245"/>
      <c r="BM42" s="245"/>
      <c r="BO42" s="250" t="s">
        <v>104</v>
      </c>
      <c r="BP42" s="245"/>
      <c r="BQ42" s="245"/>
      <c r="BR42" s="245"/>
      <c r="BS42" s="245"/>
      <c r="BT42" s="245"/>
      <c r="BU42" s="245"/>
      <c r="BV42" s="245"/>
      <c r="BW42" s="245"/>
      <c r="BX42" s="245"/>
      <c r="BZ42" s="250" t="s">
        <v>104</v>
      </c>
      <c r="CA42" s="245"/>
      <c r="CB42" s="245"/>
      <c r="CC42" s="245"/>
      <c r="CD42" s="245"/>
      <c r="CE42" s="245"/>
      <c r="CF42" s="245"/>
      <c r="CG42" s="245"/>
      <c r="CH42" s="245"/>
      <c r="CI42" s="245"/>
      <c r="CK42" s="250" t="s">
        <v>104</v>
      </c>
      <c r="CL42" s="245"/>
      <c r="CM42" s="245"/>
      <c r="CN42" s="245"/>
      <c r="CO42" s="245"/>
      <c r="CP42" s="245"/>
      <c r="CQ42" s="245"/>
      <c r="CR42" s="245"/>
      <c r="CS42" s="245"/>
      <c r="CT42" s="245"/>
      <c r="CV42" s="250"/>
      <c r="CW42" s="261"/>
      <c r="CX42" s="245"/>
      <c r="CY42" s="245"/>
      <c r="CZ42" s="245"/>
      <c r="DA42" s="245"/>
      <c r="DB42" s="245"/>
      <c r="DC42" s="245"/>
      <c r="DD42" s="245"/>
      <c r="DE42" s="245"/>
      <c r="DG42" s="250"/>
      <c r="DH42" s="261"/>
      <c r="DI42" s="245"/>
      <c r="DJ42" s="245"/>
      <c r="DK42" s="245"/>
      <c r="DL42" s="245"/>
      <c r="DM42" s="245"/>
      <c r="DN42" s="245"/>
      <c r="DO42" s="245"/>
      <c r="DP42" s="245"/>
      <c r="DR42" s="250"/>
      <c r="DS42" s="261"/>
      <c r="DT42" s="245"/>
      <c r="DU42" s="245"/>
      <c r="DV42" s="245"/>
      <c r="DW42" s="245"/>
      <c r="DX42" s="245"/>
      <c r="DY42" s="245"/>
      <c r="DZ42" s="245"/>
      <c r="EA42" s="245"/>
      <c r="EC42" s="250"/>
      <c r="ED42" s="261"/>
      <c r="EE42" s="245"/>
      <c r="EF42" s="245"/>
      <c r="EG42" s="245"/>
      <c r="EH42" s="245"/>
      <c r="EI42" s="245"/>
      <c r="EJ42" s="245"/>
      <c r="EK42" s="245"/>
      <c r="EL42" s="245"/>
      <c r="EN42" s="250"/>
      <c r="EO42" s="261"/>
      <c r="EP42" s="245"/>
      <c r="EQ42" s="245"/>
      <c r="ER42" s="245"/>
      <c r="ES42" s="245"/>
      <c r="ET42" s="245"/>
      <c r="EU42" s="245"/>
      <c r="EV42" s="245"/>
      <c r="EW42" s="245"/>
      <c r="EY42" s="250"/>
      <c r="EZ42" s="261"/>
      <c r="FA42" s="245"/>
      <c r="FB42" s="245"/>
      <c r="FC42" s="245"/>
      <c r="FD42" s="245"/>
      <c r="FE42" s="245"/>
      <c r="FF42" s="245"/>
      <c r="FG42" s="245"/>
      <c r="FH42" s="245"/>
      <c r="FJ42" s="250"/>
      <c r="FK42" s="261"/>
      <c r="FL42" s="245"/>
      <c r="FM42" s="245"/>
      <c r="FN42" s="245"/>
      <c r="FO42" s="245"/>
      <c r="FP42" s="245"/>
      <c r="FQ42" s="245"/>
      <c r="FR42" s="245"/>
      <c r="FS42" s="245"/>
      <c r="FU42" s="250"/>
      <c r="FV42" s="261"/>
      <c r="FW42" s="245"/>
      <c r="FX42" s="245"/>
      <c r="FY42" s="245"/>
      <c r="FZ42" s="245"/>
      <c r="GA42" s="245"/>
      <c r="GB42" s="245"/>
      <c r="GC42" s="245"/>
      <c r="GD42" s="245"/>
    </row>
    <row r="43" spans="1:186" ht="15.75" x14ac:dyDescent="0.25">
      <c r="AS43" s="250" t="s">
        <v>577</v>
      </c>
      <c r="AT43" s="262" t="e">
        <f ca="1">SUM(BB7:BB40)</f>
        <v>#N/A</v>
      </c>
      <c r="AU43" s="245"/>
      <c r="AV43" s="245"/>
      <c r="AW43" s="245"/>
      <c r="AX43" s="245"/>
      <c r="AY43" s="245"/>
      <c r="AZ43" s="245"/>
      <c r="BA43" s="245"/>
      <c r="BB43" s="245"/>
      <c r="BD43" s="250" t="s">
        <v>577</v>
      </c>
      <c r="BE43" s="262" t="e">
        <f ca="1">SUM(BM7:BM40)</f>
        <v>#N/A</v>
      </c>
      <c r="BF43" s="245"/>
      <c r="BG43" s="245"/>
      <c r="BH43" s="245"/>
      <c r="BI43" s="245"/>
      <c r="BJ43" s="245"/>
      <c r="BK43" s="245"/>
      <c r="BL43" s="245"/>
      <c r="BM43" s="245"/>
      <c r="BO43" s="250" t="s">
        <v>577</v>
      </c>
      <c r="BP43" s="262" t="e">
        <f ca="1">SUM(BX7:BX40)</f>
        <v>#N/A</v>
      </c>
      <c r="BQ43" s="245"/>
      <c r="BR43" s="245"/>
      <c r="BS43" s="245"/>
      <c r="BT43" s="245"/>
      <c r="BU43" s="245"/>
      <c r="BV43" s="245"/>
      <c r="BW43" s="245"/>
      <c r="BX43" s="245"/>
      <c r="BZ43" s="250" t="s">
        <v>577</v>
      </c>
      <c r="CA43" s="262" t="e">
        <f ca="1">SUM(CI7:CI40)</f>
        <v>#N/A</v>
      </c>
      <c r="CB43" s="245"/>
      <c r="CC43" s="245"/>
      <c r="CD43" s="245"/>
      <c r="CE43" s="245"/>
      <c r="CF43" s="245"/>
      <c r="CG43" s="245"/>
      <c r="CH43" s="245"/>
      <c r="CI43" s="245"/>
      <c r="CK43" s="250" t="s">
        <v>577</v>
      </c>
      <c r="CL43" s="262" t="e">
        <f ca="1">SUM(CT7:CT38)</f>
        <v>#N/A</v>
      </c>
      <c r="CM43" s="245"/>
      <c r="CN43" s="245"/>
      <c r="CO43" s="245"/>
      <c r="CP43" s="245"/>
      <c r="CQ43" s="245"/>
      <c r="CR43" s="245"/>
      <c r="CS43" s="245"/>
      <c r="CT43" s="245"/>
      <c r="CV43" s="250"/>
      <c r="CW43" s="261"/>
      <c r="CX43" s="245"/>
      <c r="CY43" s="245"/>
      <c r="CZ43" s="245"/>
      <c r="DA43" s="245"/>
      <c r="DB43" s="245"/>
      <c r="DC43" s="245"/>
      <c r="DD43" s="245"/>
      <c r="DE43" s="245"/>
      <c r="DG43" s="250"/>
      <c r="DH43" s="261"/>
      <c r="DI43" s="245"/>
      <c r="DJ43" s="245"/>
      <c r="DK43" s="245"/>
      <c r="DL43" s="245"/>
      <c r="DM43" s="245"/>
      <c r="DN43" s="245"/>
      <c r="DO43" s="245"/>
      <c r="DP43" s="245"/>
      <c r="DR43" s="250"/>
      <c r="DS43" s="261"/>
      <c r="DT43" s="245"/>
      <c r="DU43" s="245"/>
      <c r="DV43" s="245"/>
      <c r="DW43" s="245"/>
      <c r="DX43" s="245"/>
      <c r="DY43" s="245"/>
      <c r="DZ43" s="245"/>
      <c r="EA43" s="245"/>
      <c r="EC43" s="250"/>
      <c r="ED43" s="261"/>
      <c r="EE43" s="245"/>
      <c r="EF43" s="245"/>
      <c r="EG43" s="245"/>
      <c r="EH43" s="245"/>
      <c r="EI43" s="245"/>
      <c r="EJ43" s="245"/>
      <c r="EK43" s="245"/>
      <c r="EL43" s="245"/>
      <c r="EN43" s="250"/>
      <c r="EO43" s="261"/>
      <c r="EP43" s="245"/>
      <c r="EQ43" s="245"/>
      <c r="ER43" s="245"/>
      <c r="ES43" s="245"/>
      <c r="ET43" s="245"/>
      <c r="EU43" s="245"/>
      <c r="EV43" s="245"/>
      <c r="EW43" s="245"/>
      <c r="EY43" s="250"/>
      <c r="EZ43" s="261"/>
      <c r="FA43" s="245"/>
      <c r="FB43" s="245"/>
      <c r="FC43" s="245"/>
      <c r="FD43" s="245"/>
      <c r="FE43" s="245"/>
      <c r="FF43" s="245"/>
      <c r="FG43" s="245"/>
      <c r="FH43" s="245"/>
      <c r="FJ43" s="250"/>
      <c r="FK43" s="261"/>
      <c r="FL43" s="245"/>
      <c r="FM43" s="245"/>
      <c r="FN43" s="245"/>
      <c r="FO43" s="245"/>
      <c r="FP43" s="245"/>
      <c r="FQ43" s="245"/>
      <c r="FR43" s="245"/>
      <c r="FS43" s="245"/>
      <c r="FU43" s="250"/>
      <c r="FV43" s="261"/>
      <c r="FW43" s="245"/>
      <c r="FX43" s="245"/>
      <c r="FY43" s="245"/>
      <c r="FZ43" s="245"/>
      <c r="GA43" s="245"/>
      <c r="GB43" s="245"/>
      <c r="GC43" s="245"/>
      <c r="GD43" s="245"/>
    </row>
    <row r="44" spans="1:186" ht="15.75" x14ac:dyDescent="0.25">
      <c r="AU44" s="245"/>
      <c r="AV44" s="245"/>
      <c r="AW44" s="245"/>
      <c r="AX44" s="245"/>
      <c r="AY44" s="245"/>
      <c r="AZ44" s="245"/>
      <c r="BA44" s="245"/>
      <c r="BB44" s="245"/>
      <c r="BF44" s="245"/>
      <c r="BG44" s="245"/>
      <c r="BH44" s="245"/>
      <c r="BI44" s="245"/>
      <c r="BJ44" s="245"/>
      <c r="BK44" s="245"/>
      <c r="BL44" s="245"/>
      <c r="BM44" s="245"/>
      <c r="CV44" s="250"/>
      <c r="CW44" s="245"/>
      <c r="CX44" s="245"/>
      <c r="CY44" s="245"/>
      <c r="CZ44" s="245"/>
      <c r="DA44" s="245"/>
      <c r="DB44" s="245"/>
      <c r="DC44" s="245"/>
      <c r="DD44" s="245"/>
      <c r="DE44" s="245"/>
      <c r="DG44" s="250"/>
      <c r="DH44" s="245"/>
      <c r="DI44" s="245"/>
      <c r="DJ44" s="245"/>
      <c r="DK44" s="245"/>
      <c r="DL44" s="245"/>
      <c r="DM44" s="245"/>
      <c r="DN44" s="245"/>
      <c r="DO44" s="245"/>
      <c r="DP44" s="245"/>
      <c r="DR44" s="250"/>
      <c r="DS44" s="245"/>
      <c r="DT44" s="245"/>
      <c r="DU44" s="245"/>
      <c r="DV44" s="245"/>
      <c r="DW44" s="245"/>
      <c r="DX44" s="245"/>
      <c r="DY44" s="245"/>
      <c r="DZ44" s="245"/>
      <c r="EA44" s="245"/>
      <c r="EC44" s="250"/>
      <c r="ED44" s="245"/>
      <c r="EE44" s="245"/>
      <c r="EF44" s="245"/>
      <c r="EG44" s="245"/>
      <c r="EH44" s="245"/>
      <c r="EI44" s="245"/>
      <c r="EJ44" s="245"/>
      <c r="EK44" s="245"/>
      <c r="EL44" s="245"/>
      <c r="EN44" s="250"/>
      <c r="EO44" s="245"/>
      <c r="EP44" s="245"/>
      <c r="EQ44" s="245"/>
      <c r="ER44" s="245"/>
      <c r="ES44" s="245"/>
      <c r="ET44" s="245"/>
      <c r="EU44" s="245"/>
      <c r="EV44" s="245"/>
      <c r="EW44" s="245"/>
      <c r="EY44" s="250"/>
      <c r="EZ44" s="245"/>
      <c r="FA44" s="245"/>
      <c r="FB44" s="245"/>
      <c r="FC44" s="245"/>
      <c r="FD44" s="245"/>
      <c r="FE44" s="245"/>
      <c r="FF44" s="245"/>
      <c r="FG44" s="245"/>
      <c r="FH44" s="245"/>
      <c r="FJ44" s="250"/>
      <c r="FK44" s="245"/>
      <c r="FL44" s="245"/>
      <c r="FM44" s="245"/>
      <c r="FN44" s="245"/>
      <c r="FO44" s="245"/>
      <c r="FP44" s="245"/>
      <c r="FQ44" s="245"/>
      <c r="FR44" s="245"/>
      <c r="FS44" s="245"/>
      <c r="FU44" s="250"/>
      <c r="FV44" s="245"/>
      <c r="FW44" s="245"/>
      <c r="FX44" s="245"/>
      <c r="FY44" s="245"/>
      <c r="FZ44" s="245"/>
      <c r="GA44" s="245"/>
      <c r="GB44" s="245"/>
      <c r="GC44" s="245"/>
      <c r="GD44" s="245"/>
    </row>
    <row r="45" spans="1:186" ht="15.75" x14ac:dyDescent="0.25">
      <c r="A45" s="600" t="s">
        <v>979</v>
      </c>
      <c r="B45" s="600"/>
      <c r="AU45" s="245"/>
      <c r="AV45" s="245"/>
      <c r="AW45" s="245"/>
      <c r="AX45" s="245"/>
      <c r="AY45" s="245"/>
      <c r="AZ45" s="245"/>
      <c r="BA45" s="245"/>
      <c r="BB45" s="245"/>
      <c r="BF45" s="245"/>
      <c r="BG45" s="245"/>
      <c r="BH45" s="245"/>
      <c r="BI45" s="245"/>
      <c r="BJ45" s="245"/>
      <c r="BK45" s="245"/>
      <c r="BL45" s="245"/>
      <c r="BM45" s="245"/>
      <c r="CV45" s="250" t="s">
        <v>104</v>
      </c>
      <c r="CW45" s="245"/>
      <c r="CX45" s="245"/>
      <c r="CY45" s="245"/>
      <c r="CZ45" s="245"/>
      <c r="DA45" s="245"/>
      <c r="DB45" s="245"/>
      <c r="DC45" s="245"/>
      <c r="DD45" s="245"/>
      <c r="DE45" s="245"/>
      <c r="DG45" s="250" t="s">
        <v>104</v>
      </c>
      <c r="DH45" s="245"/>
      <c r="DI45" s="245"/>
      <c r="DJ45" s="245"/>
      <c r="DK45" s="245"/>
      <c r="DL45" s="245"/>
      <c r="DM45" s="245"/>
      <c r="DN45" s="245"/>
      <c r="DO45" s="245"/>
      <c r="DP45" s="245"/>
      <c r="DR45" s="250" t="s">
        <v>104</v>
      </c>
      <c r="DS45" s="245"/>
      <c r="DT45" s="245"/>
      <c r="DU45" s="245"/>
      <c r="DV45" s="245"/>
      <c r="DW45" s="245"/>
      <c r="DX45" s="245"/>
      <c r="DY45" s="245"/>
      <c r="DZ45" s="245"/>
      <c r="EA45" s="245"/>
      <c r="EC45" s="250" t="s">
        <v>104</v>
      </c>
      <c r="ED45" s="245"/>
      <c r="EE45" s="245"/>
      <c r="EF45" s="245"/>
      <c r="EG45" s="245"/>
      <c r="EH45" s="245"/>
      <c r="EI45" s="245"/>
      <c r="EJ45" s="245"/>
      <c r="EK45" s="245"/>
      <c r="EL45" s="245"/>
      <c r="EN45" s="250" t="s">
        <v>104</v>
      </c>
      <c r="EO45" s="245"/>
      <c r="EP45" s="245"/>
      <c r="EQ45" s="245"/>
      <c r="ER45" s="245"/>
      <c r="ES45" s="245"/>
      <c r="ET45" s="245"/>
      <c r="EU45" s="245"/>
      <c r="EV45" s="245"/>
      <c r="EW45" s="245"/>
      <c r="EY45" s="250" t="s">
        <v>104</v>
      </c>
      <c r="EZ45" s="245"/>
      <c r="FA45" s="245"/>
      <c r="FB45" s="245"/>
      <c r="FC45" s="245"/>
      <c r="FD45" s="245"/>
      <c r="FE45" s="245"/>
      <c r="FF45" s="245"/>
      <c r="FG45" s="245"/>
      <c r="FH45" s="245"/>
      <c r="FJ45" s="250" t="s">
        <v>104</v>
      </c>
      <c r="FK45" s="245"/>
      <c r="FL45" s="245"/>
      <c r="FM45" s="245"/>
      <c r="FN45" s="245"/>
      <c r="FO45" s="245"/>
      <c r="FP45" s="245"/>
      <c r="FQ45" s="245"/>
      <c r="FR45" s="245"/>
      <c r="FS45" s="245"/>
      <c r="FU45" s="250" t="s">
        <v>104</v>
      </c>
      <c r="FV45" s="245"/>
      <c r="FW45" s="245"/>
      <c r="FX45" s="245"/>
      <c r="FY45" s="245"/>
      <c r="FZ45" s="245"/>
      <c r="GA45" s="245"/>
      <c r="GB45" s="245"/>
      <c r="GC45" s="245"/>
      <c r="GD45" s="245"/>
    </row>
    <row r="46" spans="1:186" ht="15.75" x14ac:dyDescent="0.25">
      <c r="A46" s="600" t="s">
        <v>828</v>
      </c>
      <c r="B46" s="600"/>
      <c r="CV46" s="250" t="s">
        <v>577</v>
      </c>
      <c r="CW46" s="256" t="e">
        <f ca="1">SUM(DE6:DE41)</f>
        <v>#N/A</v>
      </c>
      <c r="CX46" s="245"/>
      <c r="CY46" s="245"/>
      <c r="CZ46" s="245"/>
      <c r="DA46" s="245"/>
      <c r="DB46" s="245"/>
      <c r="DC46" s="245"/>
      <c r="DD46" s="245"/>
      <c r="DE46" s="245"/>
      <c r="DG46" s="250" t="s">
        <v>577</v>
      </c>
      <c r="DH46" s="351" t="e">
        <f ca="1">SUM(DP6:DP41)</f>
        <v>#N/A</v>
      </c>
      <c r="DI46" s="245"/>
      <c r="DJ46" s="245"/>
      <c r="DK46" s="245"/>
      <c r="DL46" s="245"/>
      <c r="DM46" s="245"/>
      <c r="DN46" s="245"/>
      <c r="DO46" s="245"/>
      <c r="DP46" s="245"/>
      <c r="DR46" s="250" t="s">
        <v>577</v>
      </c>
      <c r="DS46" s="351" t="e">
        <f ca="1">SUM(EA6:EA41)</f>
        <v>#N/A</v>
      </c>
      <c r="DT46" s="245"/>
      <c r="DU46" s="245"/>
      <c r="DV46" s="245"/>
      <c r="DW46" s="245"/>
      <c r="DX46" s="245"/>
      <c r="DY46" s="245"/>
      <c r="DZ46" s="245"/>
      <c r="EA46" s="245"/>
      <c r="EC46" s="250" t="s">
        <v>577</v>
      </c>
      <c r="ED46" s="351" t="e">
        <f ca="1">SUM(EL6:EL41)</f>
        <v>#N/A</v>
      </c>
      <c r="EE46" s="245"/>
      <c r="EF46" s="245"/>
      <c r="EG46" s="245"/>
      <c r="EH46" s="245"/>
      <c r="EI46" s="245"/>
      <c r="EJ46" s="245"/>
      <c r="EK46" s="245"/>
      <c r="EL46" s="245"/>
      <c r="EN46" s="250" t="s">
        <v>577</v>
      </c>
      <c r="EO46" s="351" t="e">
        <f ca="1">SUM(EW6:EW41)</f>
        <v>#N/A</v>
      </c>
      <c r="EP46" s="245"/>
      <c r="EQ46" s="245"/>
      <c r="ER46" s="245"/>
      <c r="ES46" s="245"/>
      <c r="ET46" s="245"/>
      <c r="EU46" s="245"/>
      <c r="EV46" s="245"/>
      <c r="EW46" s="245"/>
      <c r="EY46" s="250" t="s">
        <v>577</v>
      </c>
      <c r="EZ46" s="351" t="e">
        <f ca="1">SUM(FH6:FH41)</f>
        <v>#N/A</v>
      </c>
      <c r="FA46" s="245"/>
      <c r="FB46" s="245"/>
      <c r="FC46" s="245"/>
      <c r="FD46" s="245"/>
      <c r="FE46" s="245"/>
      <c r="FF46" s="245"/>
      <c r="FG46" s="245"/>
      <c r="FH46" s="245"/>
      <c r="FJ46" s="250" t="s">
        <v>577</v>
      </c>
      <c r="FK46" s="351" t="e">
        <f ca="1">SUM(FS6:FS41)</f>
        <v>#N/A</v>
      </c>
      <c r="FL46" s="245"/>
      <c r="FM46" s="245"/>
      <c r="FN46" s="245"/>
      <c r="FO46" s="245"/>
      <c r="FP46" s="245"/>
      <c r="FQ46" s="245"/>
      <c r="FR46" s="245"/>
      <c r="FS46" s="245"/>
      <c r="FU46" s="250" t="s">
        <v>577</v>
      </c>
      <c r="FV46" s="351" t="e">
        <f ca="1">SUM(GD6:GD41)</f>
        <v>#N/A</v>
      </c>
      <c r="FW46" s="245"/>
      <c r="FX46" s="245"/>
      <c r="FY46" s="245"/>
      <c r="FZ46" s="245"/>
      <c r="GA46" s="245"/>
      <c r="GB46" s="245"/>
      <c r="GC46" s="245"/>
      <c r="GD46" s="245"/>
    </row>
    <row r="47" spans="1:186" x14ac:dyDescent="0.25">
      <c r="A47" s="600" t="s">
        <v>447</v>
      </c>
      <c r="B47" s="600">
        <f ca="1">INDIRECT("'" &amp; A$46 &amp; "'!" &amp; A47)</f>
        <v>0</v>
      </c>
    </row>
    <row r="48" spans="1:186" x14ac:dyDescent="0.25">
      <c r="A48" s="600" t="s">
        <v>224</v>
      </c>
      <c r="B48" s="600" t="e">
        <f t="shared" ref="B48:B56" ca="1" si="10">INDIRECT("'" &amp; A$46 &amp; "'!" &amp; A48)</f>
        <v>#N/A</v>
      </c>
    </row>
    <row r="49" spans="1:2" x14ac:dyDescent="0.25">
      <c r="A49" s="600" t="s">
        <v>980</v>
      </c>
      <c r="B49" s="600">
        <f t="shared" ca="1" si="10"/>
        <v>18</v>
      </c>
    </row>
    <row r="50" spans="1:2" x14ac:dyDescent="0.25">
      <c r="A50" s="600" t="s">
        <v>982</v>
      </c>
      <c r="B50" s="600">
        <f t="shared" ca="1" si="10"/>
        <v>0.25</v>
      </c>
    </row>
    <row r="51" spans="1:2" x14ac:dyDescent="0.25">
      <c r="A51" s="600" t="s">
        <v>984</v>
      </c>
      <c r="B51" s="600">
        <f t="shared" ca="1" si="10"/>
        <v>24</v>
      </c>
    </row>
    <row r="52" spans="1:2" x14ac:dyDescent="0.25">
      <c r="A52" s="600" t="s">
        <v>983</v>
      </c>
      <c r="B52" s="600">
        <f t="shared" ca="1" si="10"/>
        <v>0.28299999999999997</v>
      </c>
    </row>
    <row r="53" spans="1:2" x14ac:dyDescent="0.25">
      <c r="A53" s="600" t="s">
        <v>981</v>
      </c>
      <c r="B53" s="600">
        <f t="shared" ca="1" si="10"/>
        <v>282.74333882308139</v>
      </c>
    </row>
    <row r="54" spans="1:2" x14ac:dyDescent="0.25">
      <c r="A54" s="600" t="s">
        <v>986</v>
      </c>
      <c r="B54" s="600">
        <f t="shared" ca="1" si="10"/>
        <v>5</v>
      </c>
    </row>
    <row r="55" spans="1:2" x14ac:dyDescent="0.25">
      <c r="A55" s="600" t="s">
        <v>987</v>
      </c>
      <c r="B55" s="600">
        <f t="shared" ca="1" si="10"/>
        <v>2</v>
      </c>
    </row>
    <row r="56" spans="1:2" x14ac:dyDescent="0.25">
      <c r="A56" s="600" t="s">
        <v>942</v>
      </c>
      <c r="B56" s="600" t="str">
        <f t="shared" ca="1" si="10"/>
        <v>Y</v>
      </c>
    </row>
  </sheetData>
  <sheetProtection selectLockedCells="1" selectUnlockedCells="1"/>
  <mergeCells count="8">
    <mergeCell ref="EZ39:FB39"/>
    <mergeCell ref="FK39:FM39"/>
    <mergeCell ref="FV39:FX39"/>
    <mergeCell ref="CW37:CY37"/>
    <mergeCell ref="DH37:DJ37"/>
    <mergeCell ref="DS37:DU37"/>
    <mergeCell ref="EO39:EQ39"/>
    <mergeCell ref="ED39:EF39"/>
  </mergeCell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620493-7BF4-459D-B338-129CE2856A5D}">
  <sheetPr codeName="Sheet37">
    <tabColor rgb="FFFF0000"/>
  </sheetPr>
  <dimension ref="A1:S69"/>
  <sheetViews>
    <sheetView topLeftCell="A18" workbookViewId="0">
      <selection activeCell="G33" sqref="G33"/>
    </sheetView>
  </sheetViews>
  <sheetFormatPr defaultRowHeight="15" x14ac:dyDescent="0.25"/>
  <sheetData>
    <row r="1" spans="1:19" x14ac:dyDescent="0.25">
      <c r="D1" t="s">
        <v>1009</v>
      </c>
      <c r="N1" t="s">
        <v>1010</v>
      </c>
    </row>
    <row r="2" spans="1:19" ht="15.75" thickBot="1" x14ac:dyDescent="0.3"/>
    <row r="3" spans="1:19" ht="15.75" thickBot="1" x14ac:dyDescent="0.3">
      <c r="A3" s="352" t="s">
        <v>123</v>
      </c>
      <c r="B3" s="353" t="e">
        <f ca="1">((vel/ACCEL)*vel)*12</f>
        <v>#N/A</v>
      </c>
      <c r="C3" s="354">
        <f ca="1">MINLN</f>
        <v>4</v>
      </c>
      <c r="D3" s="354">
        <f t="shared" ref="D3:I3" ca="1" si="0">C3+INCR</f>
        <v>8</v>
      </c>
      <c r="E3" s="354">
        <f t="shared" ca="1" si="0"/>
        <v>12</v>
      </c>
      <c r="F3" s="354">
        <f t="shared" ca="1" si="0"/>
        <v>16</v>
      </c>
      <c r="G3" s="354">
        <f t="shared" ca="1" si="0"/>
        <v>20</v>
      </c>
      <c r="H3" s="354">
        <f t="shared" ca="1" si="0"/>
        <v>24</v>
      </c>
      <c r="I3" s="354">
        <f t="shared" ca="1" si="0"/>
        <v>28</v>
      </c>
      <c r="K3" s="352" t="s">
        <v>123</v>
      </c>
      <c r="L3" s="354" t="e">
        <f ca="1">((vel/ACCEL)*vel)*12</f>
        <v>#N/A</v>
      </c>
      <c r="M3" s="354">
        <f ca="1">MINLN</f>
        <v>4</v>
      </c>
      <c r="N3" s="354">
        <f t="shared" ref="N3:S3" ca="1" si="1">M3+INCR</f>
        <v>8</v>
      </c>
      <c r="O3" s="354">
        <f t="shared" ca="1" si="1"/>
        <v>12</v>
      </c>
      <c r="P3" s="354">
        <f t="shared" ca="1" si="1"/>
        <v>16</v>
      </c>
      <c r="Q3" s="354">
        <f t="shared" ca="1" si="1"/>
        <v>20</v>
      </c>
      <c r="R3" s="354">
        <f t="shared" ca="1" si="1"/>
        <v>24</v>
      </c>
      <c r="S3" s="354">
        <f t="shared" ca="1" si="1"/>
        <v>28</v>
      </c>
    </row>
    <row r="4" spans="1:19" ht="15.75" thickBot="1" x14ac:dyDescent="0.3">
      <c r="A4" s="352" t="s">
        <v>630</v>
      </c>
      <c r="B4" s="573" t="e">
        <f ca="1">SQRT(((PEAKTQ^2*B7)+((ACCTQ-STR_TO-FRICTQ-LOOPTQ)^2*B7)+((FRICTQ +STR_TO+LOOPTQ)^2*B5)+((SETTQ+LOOPTQ)^2*SETTM)+(LOOPTQ^2*B6))/B9)</f>
        <v>#N/A</v>
      </c>
      <c r="C4" s="574" t="e">
        <f t="shared" ref="C4:I4" ca="1" si="2">SQRT((((PEAKTQ^2)*C7)+(((ACCTQ-STR_TO-FRICTQ-LOOPTQ)^2)*C7)+(((FRICTQ+LOOPTQ+STR_TO)^2)*C5)+(((SETTQ+LOOPTQ)^2)*SETTM)+((LOOPTQ^2)*C6))/C9)</f>
        <v>#N/A</v>
      </c>
      <c r="D4" s="574" t="e">
        <f t="shared" ca="1" si="2"/>
        <v>#N/A</v>
      </c>
      <c r="E4" s="574" t="e">
        <f t="shared" ca="1" si="2"/>
        <v>#N/A</v>
      </c>
      <c r="F4" s="574" t="e">
        <f t="shared" ca="1" si="2"/>
        <v>#N/A</v>
      </c>
      <c r="G4" s="574" t="e">
        <f t="shared" ca="1" si="2"/>
        <v>#N/A</v>
      </c>
      <c r="H4" s="574" t="e">
        <f t="shared" ca="1" si="2"/>
        <v>#N/A</v>
      </c>
      <c r="I4" s="575" t="e">
        <f t="shared" ca="1" si="2"/>
        <v>#N/A</v>
      </c>
      <c r="K4" s="352" t="s">
        <v>630</v>
      </c>
      <c r="L4" s="573" t="e">
        <f ca="1">SQRT(((PEAKTQ^2*L7)+((ACCTQ-STR_TO-FRICTQ-LOOPTQ)^2*L7)+((FRICTQ +STR_TO+LOOPTQ)^2*L5)+((SETTQ+LOOPTQ)^2*SETTM)+(LOOPTQ^2*L6))/L9)</f>
        <v>#N/A</v>
      </c>
      <c r="M4" s="574" t="e">
        <f t="shared" ref="M4:S4" ca="1" si="3">SQRT((((PEAKTQ^2)*M7)+(((ACCTQ-STR_TO-FRICTQ-LOOPTQ)^2)*M7)+(((FRICTQ+LOOPTQ+STR_TO)^2)*M5)+(((SETTQ+LOOPTQ)^2)*SETTM)+((LOOPTQ^2)*M6))/M9)</f>
        <v>#N/A</v>
      </c>
      <c r="N4" s="574" t="e">
        <f t="shared" ca="1" si="3"/>
        <v>#N/A</v>
      </c>
      <c r="O4" s="574" t="e">
        <f t="shared" ca="1" si="3"/>
        <v>#N/A</v>
      </c>
      <c r="P4" s="574" t="e">
        <f t="shared" ca="1" si="3"/>
        <v>#N/A</v>
      </c>
      <c r="Q4" s="574" t="e">
        <f t="shared" ca="1" si="3"/>
        <v>#N/A</v>
      </c>
      <c r="R4" s="574" t="e">
        <f t="shared" ca="1" si="3"/>
        <v>#N/A</v>
      </c>
      <c r="S4" s="575" t="e">
        <f t="shared" ca="1" si="3"/>
        <v>#N/A</v>
      </c>
    </row>
    <row r="5" spans="1:19" ht="15.75" thickBot="1" x14ac:dyDescent="0.3">
      <c r="A5" s="352" t="s">
        <v>631</v>
      </c>
      <c r="B5" s="579" t="e">
        <f ca="1">IF(((ALLACC-((MPEAK*ACCTM)*12))/12)/MPEAK&gt;0,((ALLACC-((MPEAK*ACCTM)*12))/12)/MPEAK,0)</f>
        <v>#N/A</v>
      </c>
      <c r="C5" s="55" t="e">
        <f t="shared" ref="C5:I5" ca="1" si="4">IF(C3&gt;ALLACC,((C3-ALLACC)/12)/vel,0)</f>
        <v>#N/A</v>
      </c>
      <c r="D5" s="55" t="e">
        <f t="shared" ca="1" si="4"/>
        <v>#N/A</v>
      </c>
      <c r="E5" s="55" t="e">
        <f t="shared" ca="1" si="4"/>
        <v>#N/A</v>
      </c>
      <c r="F5" s="55" t="e">
        <f t="shared" ca="1" si="4"/>
        <v>#N/A</v>
      </c>
      <c r="G5" s="55" t="e">
        <f t="shared" ca="1" si="4"/>
        <v>#N/A</v>
      </c>
      <c r="H5" s="55" t="e">
        <f t="shared" ca="1" si="4"/>
        <v>#N/A</v>
      </c>
      <c r="I5" s="206" t="e">
        <f t="shared" ca="1" si="4"/>
        <v>#N/A</v>
      </c>
      <c r="K5" s="352" t="s">
        <v>631</v>
      </c>
      <c r="L5" s="579" t="e">
        <f ca="1">IF(((ALLACC_2-((MPEAK*ACCTM_2)*12))/12)/MPEAK&gt;0,((ALLACC_2-((MPEAK*ACCTM_2)*12))/12)/MPEAK,0)</f>
        <v>#N/A</v>
      </c>
      <c r="M5" s="55" t="e">
        <f t="shared" ref="M5:S5" ca="1" si="5">IF(M3&gt;ALLACC_2,((M3-ALLACC_2)/12)/vel,0)</f>
        <v>#N/A</v>
      </c>
      <c r="N5" s="55" t="e">
        <f t="shared" ca="1" si="5"/>
        <v>#N/A</v>
      </c>
      <c r="O5" s="55" t="e">
        <f t="shared" ca="1" si="5"/>
        <v>#N/A</v>
      </c>
      <c r="P5" s="55" t="e">
        <f t="shared" ca="1" si="5"/>
        <v>#N/A</v>
      </c>
      <c r="Q5" s="55" t="e">
        <f t="shared" ca="1" si="5"/>
        <v>#N/A</v>
      </c>
      <c r="R5" s="55" t="e">
        <f t="shared" ca="1" si="5"/>
        <v>#N/A</v>
      </c>
      <c r="S5" s="206" t="e">
        <f t="shared" ca="1" si="5"/>
        <v>#N/A</v>
      </c>
    </row>
    <row r="6" spans="1:19" ht="15.75" thickBot="1" x14ac:dyDescent="0.3">
      <c r="A6" s="352" t="s">
        <v>632</v>
      </c>
      <c r="B6" s="579" t="e">
        <f ca="1">CYCTM-MOVTM</f>
        <v>#N/A</v>
      </c>
      <c r="C6" s="55" t="e">
        <f t="shared" ref="C6:I6" ca="1" si="6">C9-C8</f>
        <v>#N/A</v>
      </c>
      <c r="D6" s="55" t="e">
        <f t="shared" ca="1" si="6"/>
        <v>#N/A</v>
      </c>
      <c r="E6" s="55" t="e">
        <f t="shared" ca="1" si="6"/>
        <v>#N/A</v>
      </c>
      <c r="F6" s="55" t="e">
        <f t="shared" ca="1" si="6"/>
        <v>#N/A</v>
      </c>
      <c r="G6" s="55" t="e">
        <f t="shared" ca="1" si="6"/>
        <v>#N/A</v>
      </c>
      <c r="H6" s="55" t="e">
        <f t="shared" ca="1" si="6"/>
        <v>#N/A</v>
      </c>
      <c r="I6" s="206" t="e">
        <f t="shared" ca="1" si="6"/>
        <v>#N/A</v>
      </c>
      <c r="K6" s="352" t="s">
        <v>632</v>
      </c>
      <c r="L6" s="579" t="e">
        <f ca="1">CYCTM_2-MOVTM_2</f>
        <v>#N/A</v>
      </c>
      <c r="M6" s="55" t="e">
        <f t="shared" ref="M6:S6" ca="1" si="7">M9-M8</f>
        <v>#N/A</v>
      </c>
      <c r="N6" s="55" t="e">
        <f t="shared" ca="1" si="7"/>
        <v>#N/A</v>
      </c>
      <c r="O6" s="55" t="e">
        <f t="shared" ca="1" si="7"/>
        <v>#N/A</v>
      </c>
      <c r="P6" s="55" t="e">
        <f t="shared" ca="1" si="7"/>
        <v>#N/A</v>
      </c>
      <c r="Q6" s="55" t="e">
        <f t="shared" ca="1" si="7"/>
        <v>#N/A</v>
      </c>
      <c r="R6" s="55" t="e">
        <f t="shared" ca="1" si="7"/>
        <v>#N/A</v>
      </c>
      <c r="S6" s="206" t="e">
        <f t="shared" ca="1" si="7"/>
        <v>#N/A</v>
      </c>
    </row>
    <row r="7" spans="1:19" ht="15.75" thickBot="1" x14ac:dyDescent="0.3">
      <c r="A7" s="352" t="s">
        <v>85</v>
      </c>
      <c r="B7" s="579" t="e">
        <f ca="1">vel/ACCEL</f>
        <v>#N/A</v>
      </c>
      <c r="C7" s="55" t="e">
        <f t="shared" ref="C7:I7" ca="1" si="8">IF(C3&gt;ALLACC,ACCTM,SQRT((C3/12)/ACCEL))</f>
        <v>#N/A</v>
      </c>
      <c r="D7" s="55" t="e">
        <f t="shared" ca="1" si="8"/>
        <v>#N/A</v>
      </c>
      <c r="E7" s="55" t="e">
        <f t="shared" ca="1" si="8"/>
        <v>#N/A</v>
      </c>
      <c r="F7" s="55" t="e">
        <f t="shared" ca="1" si="8"/>
        <v>#N/A</v>
      </c>
      <c r="G7" s="55" t="e">
        <f t="shared" ca="1" si="8"/>
        <v>#N/A</v>
      </c>
      <c r="H7" s="55" t="e">
        <f t="shared" ca="1" si="8"/>
        <v>#N/A</v>
      </c>
      <c r="I7" s="206" t="e">
        <f t="shared" ca="1" si="8"/>
        <v>#N/A</v>
      </c>
      <c r="K7" s="352" t="s">
        <v>85</v>
      </c>
      <c r="L7" s="579" t="e">
        <f ca="1">vel/ACCEL</f>
        <v>#N/A</v>
      </c>
      <c r="M7" s="55" t="e">
        <f t="shared" ref="M7:S7" ca="1" si="9">IF(M3&gt;ALLACC,ACCTM,SQRT((M3/12)/ACCEL))</f>
        <v>#N/A</v>
      </c>
      <c r="N7" s="55" t="e">
        <f t="shared" ca="1" si="9"/>
        <v>#N/A</v>
      </c>
      <c r="O7" s="55" t="e">
        <f t="shared" ca="1" si="9"/>
        <v>#N/A</v>
      </c>
      <c r="P7" s="55" t="e">
        <f t="shared" ca="1" si="9"/>
        <v>#N/A</v>
      </c>
      <c r="Q7" s="55" t="e">
        <f t="shared" ca="1" si="9"/>
        <v>#N/A</v>
      </c>
      <c r="R7" s="55" t="e">
        <f t="shared" ca="1" si="9"/>
        <v>#N/A</v>
      </c>
      <c r="S7" s="206" t="e">
        <f t="shared" ca="1" si="9"/>
        <v>#N/A</v>
      </c>
    </row>
    <row r="8" spans="1:19" ht="15.75" thickBot="1" x14ac:dyDescent="0.3">
      <c r="A8" s="352" t="s">
        <v>633</v>
      </c>
      <c r="B8" s="579" t="e">
        <f ca="1">((ACCTM*2)+B5+SETTM)</f>
        <v>#N/A</v>
      </c>
      <c r="C8" s="55" t="e">
        <f t="shared" ref="C8:I8" ca="1" si="10">(C7*2)+C5+SETTM</f>
        <v>#N/A</v>
      </c>
      <c r="D8" s="55" t="e">
        <f t="shared" ca="1" si="10"/>
        <v>#N/A</v>
      </c>
      <c r="E8" s="55" t="e">
        <f t="shared" ca="1" si="10"/>
        <v>#N/A</v>
      </c>
      <c r="F8" s="55" t="e">
        <f t="shared" ca="1" si="10"/>
        <v>#N/A</v>
      </c>
      <c r="G8" s="55" t="e">
        <f t="shared" ca="1" si="10"/>
        <v>#N/A</v>
      </c>
      <c r="H8" s="55" t="e">
        <f t="shared" ca="1" si="10"/>
        <v>#N/A</v>
      </c>
      <c r="I8" s="206" t="e">
        <f t="shared" ca="1" si="10"/>
        <v>#N/A</v>
      </c>
      <c r="K8" s="352" t="s">
        <v>633</v>
      </c>
      <c r="L8" s="579" t="e">
        <f ca="1">((ACCTM_2*2)+L5+SETTM)</f>
        <v>#N/A</v>
      </c>
      <c r="M8" s="55" t="e">
        <f t="shared" ref="M8:S8" ca="1" si="11">(M7*2)+M5+SETTM</f>
        <v>#N/A</v>
      </c>
      <c r="N8" s="55" t="e">
        <f t="shared" ca="1" si="11"/>
        <v>#N/A</v>
      </c>
      <c r="O8" s="55" t="e">
        <f t="shared" ca="1" si="11"/>
        <v>#N/A</v>
      </c>
      <c r="P8" s="55" t="e">
        <f t="shared" ca="1" si="11"/>
        <v>#N/A</v>
      </c>
      <c r="Q8" s="55" t="e">
        <f t="shared" ca="1" si="11"/>
        <v>#N/A</v>
      </c>
      <c r="R8" s="55" t="e">
        <f t="shared" ca="1" si="11"/>
        <v>#N/A</v>
      </c>
      <c r="S8" s="206" t="e">
        <f t="shared" ca="1" si="11"/>
        <v>#N/A</v>
      </c>
    </row>
    <row r="9" spans="1:19" ht="15.75" thickBot="1" x14ac:dyDescent="0.3">
      <c r="A9" s="352" t="s">
        <v>634</v>
      </c>
      <c r="B9" s="579" t="e">
        <f ca="1">IF(application="Press Feed",MOVTM*(360/FA),MOVTM+FA)</f>
        <v>#N/A</v>
      </c>
      <c r="C9" s="55" t="e">
        <f t="shared" ref="C9:I9" ca="1" si="12">IF(application="Press Feed",C8*(360/FA),C8+FA)</f>
        <v>#N/A</v>
      </c>
      <c r="D9" s="55" t="e">
        <f t="shared" ca="1" si="12"/>
        <v>#N/A</v>
      </c>
      <c r="E9" s="55" t="e">
        <f t="shared" ca="1" si="12"/>
        <v>#N/A</v>
      </c>
      <c r="F9" s="55" t="e">
        <f t="shared" ca="1" si="12"/>
        <v>#N/A</v>
      </c>
      <c r="G9" s="55" t="e">
        <f t="shared" ca="1" si="12"/>
        <v>#N/A</v>
      </c>
      <c r="H9" s="55" t="e">
        <f t="shared" ca="1" si="12"/>
        <v>#N/A</v>
      </c>
      <c r="I9" s="206" t="e">
        <f t="shared" ca="1" si="12"/>
        <v>#N/A</v>
      </c>
      <c r="K9" s="352" t="s">
        <v>634</v>
      </c>
      <c r="L9" s="579" t="e">
        <f ca="1">IF(application="Press Feed",MOVTM_2*(360/FA_2),MOVTM_2+FA_2)</f>
        <v>#N/A</v>
      </c>
      <c r="M9" s="55" t="e">
        <f t="shared" ref="M9:S9" ca="1" si="13">IF(application="Press Feed",M8*(360/FA_2),M8+FA_2)</f>
        <v>#N/A</v>
      </c>
      <c r="N9" s="55" t="e">
        <f t="shared" ca="1" si="13"/>
        <v>#N/A</v>
      </c>
      <c r="O9" s="55" t="e">
        <f t="shared" ca="1" si="13"/>
        <v>#N/A</v>
      </c>
      <c r="P9" s="55" t="e">
        <f t="shared" ca="1" si="13"/>
        <v>#N/A</v>
      </c>
      <c r="Q9" s="55" t="e">
        <f t="shared" ca="1" si="13"/>
        <v>#N/A</v>
      </c>
      <c r="R9" s="55" t="e">
        <f t="shared" ca="1" si="13"/>
        <v>#N/A</v>
      </c>
      <c r="S9" s="206" t="e">
        <f t="shared" ca="1" si="13"/>
        <v>#N/A</v>
      </c>
    </row>
    <row r="10" spans="1:19" ht="15.75" thickBot="1" x14ac:dyDescent="0.3">
      <c r="A10" s="352" t="s">
        <v>635</v>
      </c>
      <c r="B10" s="232" t="e">
        <f ca="1">60/CYCTM</f>
        <v>#N/A</v>
      </c>
      <c r="C10" s="571" t="e">
        <f t="shared" ref="C10:I10" ca="1" si="14">IF(60/C9*C3&lt;StrMaxSpInch,ROUNDDOWN(60/C9,0),ROUNDDOWN(StrMaxSpInch/C3,0))</f>
        <v>#N/A</v>
      </c>
      <c r="D10" s="571" t="e">
        <f t="shared" ca="1" si="14"/>
        <v>#N/A</v>
      </c>
      <c r="E10" s="571" t="e">
        <f t="shared" ca="1" si="14"/>
        <v>#N/A</v>
      </c>
      <c r="F10" s="571" t="e">
        <f t="shared" ca="1" si="14"/>
        <v>#N/A</v>
      </c>
      <c r="G10" s="571" t="e">
        <f t="shared" ca="1" si="14"/>
        <v>#N/A</v>
      </c>
      <c r="H10" s="571" t="e">
        <f t="shared" ca="1" si="14"/>
        <v>#N/A</v>
      </c>
      <c r="I10" s="572" t="e">
        <f t="shared" ca="1" si="14"/>
        <v>#N/A</v>
      </c>
      <c r="K10" s="352" t="s">
        <v>635</v>
      </c>
      <c r="L10" s="576" t="e">
        <f ca="1">60/CYCTM_2</f>
        <v>#N/A</v>
      </c>
      <c r="M10" s="233" t="e">
        <f t="shared" ref="M10:S10" ca="1" si="15">IF(60/M9*M3&lt;StrMaxSpInch,ROUNDDOWN(60/M9,0),ROUNDDOWN(StrMaxSpInch/M3,0))</f>
        <v>#N/A</v>
      </c>
      <c r="N10" s="233" t="e">
        <f t="shared" ca="1" si="15"/>
        <v>#N/A</v>
      </c>
      <c r="O10" s="233" t="e">
        <f t="shared" ca="1" si="15"/>
        <v>#N/A</v>
      </c>
      <c r="P10" s="233" t="e">
        <f t="shared" ca="1" si="15"/>
        <v>#N/A</v>
      </c>
      <c r="Q10" s="233" t="e">
        <f t="shared" ca="1" si="15"/>
        <v>#N/A</v>
      </c>
      <c r="R10" s="233" t="e">
        <f t="shared" ca="1" si="15"/>
        <v>#N/A</v>
      </c>
      <c r="S10" s="389" t="e">
        <f t="shared" ca="1" si="15"/>
        <v>#N/A</v>
      </c>
    </row>
    <row r="11" spans="1:19" ht="15.75" thickBot="1" x14ac:dyDescent="0.3">
      <c r="I11" s="201"/>
      <c r="S11" s="201"/>
    </row>
    <row r="12" spans="1:19" ht="15.75" thickBot="1" x14ac:dyDescent="0.3">
      <c r="A12" s="352" t="s">
        <v>123</v>
      </c>
      <c r="B12" s="354">
        <f ca="1">I3+INCR</f>
        <v>32</v>
      </c>
      <c r="C12" s="354">
        <f t="shared" ref="C12:I12" ca="1" si="16">B12+INCR</f>
        <v>36</v>
      </c>
      <c r="D12" s="354">
        <f t="shared" ca="1" si="16"/>
        <v>40</v>
      </c>
      <c r="E12" s="354">
        <f t="shared" ca="1" si="16"/>
        <v>44</v>
      </c>
      <c r="F12" s="354">
        <f t="shared" ca="1" si="16"/>
        <v>48</v>
      </c>
      <c r="G12" s="354">
        <f t="shared" ca="1" si="16"/>
        <v>52</v>
      </c>
      <c r="H12" s="354">
        <f t="shared" ca="1" si="16"/>
        <v>56</v>
      </c>
      <c r="I12" s="354">
        <f t="shared" ca="1" si="16"/>
        <v>60</v>
      </c>
      <c r="K12" s="352" t="s">
        <v>123</v>
      </c>
      <c r="L12" s="354">
        <f ca="1">S3+INCR</f>
        <v>32</v>
      </c>
      <c r="M12" s="354">
        <f t="shared" ref="M12:S12" ca="1" si="17">L12+INCR</f>
        <v>36</v>
      </c>
      <c r="N12" s="354">
        <f t="shared" ca="1" si="17"/>
        <v>40</v>
      </c>
      <c r="O12" s="354">
        <f t="shared" ca="1" si="17"/>
        <v>44</v>
      </c>
      <c r="P12" s="354">
        <f t="shared" ca="1" si="17"/>
        <v>48</v>
      </c>
      <c r="Q12" s="354">
        <f t="shared" ca="1" si="17"/>
        <v>52</v>
      </c>
      <c r="R12" s="354">
        <f t="shared" ca="1" si="17"/>
        <v>56</v>
      </c>
      <c r="S12" s="354">
        <f t="shared" ca="1" si="17"/>
        <v>60</v>
      </c>
    </row>
    <row r="13" spans="1:19" ht="15.75" thickBot="1" x14ac:dyDescent="0.3">
      <c r="A13" s="352" t="s">
        <v>630</v>
      </c>
      <c r="B13" s="573" t="e">
        <f t="shared" ref="B13:I13" ca="1" si="18">SQRT((((PEAKTQ^2)*B16)+(((ACCTQ-STR_TO-FRICTQ-LOOPTQ)^2)*B16)+(((FRICTQ+LOOPTQ+STR_TO)^2)*B14)+(((SETTQ+LOOPTQ)^2)*SETTM)+((LOOPTQ^2)*B15))/B18)</f>
        <v>#N/A</v>
      </c>
      <c r="C13" s="577" t="e">
        <f t="shared" ca="1" si="18"/>
        <v>#N/A</v>
      </c>
      <c r="D13" s="577" t="e">
        <f t="shared" ca="1" si="18"/>
        <v>#N/A</v>
      </c>
      <c r="E13" s="577" t="e">
        <f t="shared" ca="1" si="18"/>
        <v>#N/A</v>
      </c>
      <c r="F13" s="577" t="e">
        <f t="shared" ca="1" si="18"/>
        <v>#N/A</v>
      </c>
      <c r="G13" s="577" t="e">
        <f t="shared" ca="1" si="18"/>
        <v>#N/A</v>
      </c>
      <c r="H13" s="577" t="e">
        <f t="shared" ca="1" si="18"/>
        <v>#N/A</v>
      </c>
      <c r="I13" s="578" t="e">
        <f t="shared" ca="1" si="18"/>
        <v>#N/A</v>
      </c>
      <c r="K13" s="352" t="s">
        <v>630</v>
      </c>
      <c r="L13" s="573" t="e">
        <f t="shared" ref="L13:S13" ca="1" si="19">SQRT((((PEAKTQ^2)*L16)+(((ACCTQ-STR_TO-FRICTQ-LOOPTQ)^2)*L16)+(((FRICTQ+LOOPTQ+STR_TO)^2)*L14)+(((SETTQ+LOOPTQ)^2)*SETTM)+((LOOPTQ^2)*L15))/L18)</f>
        <v>#N/A</v>
      </c>
      <c r="M13" s="577" t="e">
        <f t="shared" ca="1" si="19"/>
        <v>#N/A</v>
      </c>
      <c r="N13" s="577" t="e">
        <f t="shared" ca="1" si="19"/>
        <v>#N/A</v>
      </c>
      <c r="O13" s="577" t="e">
        <f t="shared" ca="1" si="19"/>
        <v>#N/A</v>
      </c>
      <c r="P13" s="577" t="e">
        <f t="shared" ca="1" si="19"/>
        <v>#N/A</v>
      </c>
      <c r="Q13" s="577" t="e">
        <f t="shared" ca="1" si="19"/>
        <v>#N/A</v>
      </c>
      <c r="R13" s="577" t="e">
        <f t="shared" ca="1" si="19"/>
        <v>#N/A</v>
      </c>
      <c r="S13" s="578" t="e">
        <f t="shared" ca="1" si="19"/>
        <v>#N/A</v>
      </c>
    </row>
    <row r="14" spans="1:19" ht="15.75" thickBot="1" x14ac:dyDescent="0.3">
      <c r="A14" s="352" t="s">
        <v>631</v>
      </c>
      <c r="B14" s="579" t="e">
        <f t="shared" ref="B14:I14" ca="1" si="20">IF(B12&gt;ALLACC,((B12-ALLACC)/12)/vel,0)</f>
        <v>#N/A</v>
      </c>
      <c r="C14" s="55" t="e">
        <f t="shared" ca="1" si="20"/>
        <v>#N/A</v>
      </c>
      <c r="D14" s="55" t="e">
        <f t="shared" ca="1" si="20"/>
        <v>#N/A</v>
      </c>
      <c r="E14" s="55" t="e">
        <f t="shared" ca="1" si="20"/>
        <v>#N/A</v>
      </c>
      <c r="F14" s="55" t="e">
        <f t="shared" ca="1" si="20"/>
        <v>#N/A</v>
      </c>
      <c r="G14" s="55" t="e">
        <f t="shared" ca="1" si="20"/>
        <v>#N/A</v>
      </c>
      <c r="H14" s="55" t="e">
        <f t="shared" ca="1" si="20"/>
        <v>#N/A</v>
      </c>
      <c r="I14" s="206" t="e">
        <f t="shared" ca="1" si="20"/>
        <v>#N/A</v>
      </c>
      <c r="K14" s="352" t="s">
        <v>631</v>
      </c>
      <c r="L14" s="579" t="e">
        <f t="shared" ref="L14:S14" ca="1" si="21">IF(L12&gt;ALLACC,((L12-ALLACC)/12)/vel,0)</f>
        <v>#N/A</v>
      </c>
      <c r="M14" s="55" t="e">
        <f t="shared" ca="1" si="21"/>
        <v>#N/A</v>
      </c>
      <c r="N14" s="55" t="e">
        <f t="shared" ca="1" si="21"/>
        <v>#N/A</v>
      </c>
      <c r="O14" s="55" t="e">
        <f t="shared" ca="1" si="21"/>
        <v>#N/A</v>
      </c>
      <c r="P14" s="55" t="e">
        <f t="shared" ca="1" si="21"/>
        <v>#N/A</v>
      </c>
      <c r="Q14" s="55" t="e">
        <f t="shared" ca="1" si="21"/>
        <v>#N/A</v>
      </c>
      <c r="R14" s="55" t="e">
        <f t="shared" ca="1" si="21"/>
        <v>#N/A</v>
      </c>
      <c r="S14" s="206" t="e">
        <f t="shared" ca="1" si="21"/>
        <v>#N/A</v>
      </c>
    </row>
    <row r="15" spans="1:19" ht="15.75" thickBot="1" x14ac:dyDescent="0.3">
      <c r="A15" s="352" t="s">
        <v>632</v>
      </c>
      <c r="B15" s="579" t="e">
        <f t="shared" ref="B15:I15" ca="1" si="22">B18-B17</f>
        <v>#N/A</v>
      </c>
      <c r="C15" s="55" t="e">
        <f t="shared" ca="1" si="22"/>
        <v>#N/A</v>
      </c>
      <c r="D15" s="55" t="e">
        <f t="shared" ca="1" si="22"/>
        <v>#N/A</v>
      </c>
      <c r="E15" s="55" t="e">
        <f t="shared" ca="1" si="22"/>
        <v>#N/A</v>
      </c>
      <c r="F15" s="55" t="e">
        <f t="shared" ca="1" si="22"/>
        <v>#N/A</v>
      </c>
      <c r="G15" s="55" t="e">
        <f t="shared" ca="1" si="22"/>
        <v>#N/A</v>
      </c>
      <c r="H15" s="55" t="e">
        <f t="shared" ca="1" si="22"/>
        <v>#N/A</v>
      </c>
      <c r="I15" s="206" t="e">
        <f t="shared" ca="1" si="22"/>
        <v>#N/A</v>
      </c>
      <c r="K15" s="352" t="s">
        <v>632</v>
      </c>
      <c r="L15" s="579" t="e">
        <f t="shared" ref="L15:S15" ca="1" si="23">L18-L17</f>
        <v>#N/A</v>
      </c>
      <c r="M15" s="55" t="e">
        <f t="shared" ca="1" si="23"/>
        <v>#N/A</v>
      </c>
      <c r="N15" s="55" t="e">
        <f t="shared" ca="1" si="23"/>
        <v>#N/A</v>
      </c>
      <c r="O15" s="55" t="e">
        <f t="shared" ca="1" si="23"/>
        <v>#N/A</v>
      </c>
      <c r="P15" s="55" t="e">
        <f t="shared" ca="1" si="23"/>
        <v>#N/A</v>
      </c>
      <c r="Q15" s="55" t="e">
        <f t="shared" ca="1" si="23"/>
        <v>#N/A</v>
      </c>
      <c r="R15" s="55" t="e">
        <f t="shared" ca="1" si="23"/>
        <v>#N/A</v>
      </c>
      <c r="S15" s="206" t="e">
        <f t="shared" ca="1" si="23"/>
        <v>#N/A</v>
      </c>
    </row>
    <row r="16" spans="1:19" ht="15.75" thickBot="1" x14ac:dyDescent="0.3">
      <c r="A16" s="352" t="s">
        <v>85</v>
      </c>
      <c r="B16" s="579" t="e">
        <f t="shared" ref="B16:I16" ca="1" si="24">IF(B12&gt;ALLACC,ACCTM,SQRT((B12/12)/ACCEL))</f>
        <v>#N/A</v>
      </c>
      <c r="C16" s="55" t="e">
        <f t="shared" ca="1" si="24"/>
        <v>#N/A</v>
      </c>
      <c r="D16" s="55" t="e">
        <f t="shared" ca="1" si="24"/>
        <v>#N/A</v>
      </c>
      <c r="E16" s="55" t="e">
        <f t="shared" ca="1" si="24"/>
        <v>#N/A</v>
      </c>
      <c r="F16" s="55" t="e">
        <f t="shared" ca="1" si="24"/>
        <v>#N/A</v>
      </c>
      <c r="G16" s="55" t="e">
        <f t="shared" ca="1" si="24"/>
        <v>#N/A</v>
      </c>
      <c r="H16" s="55" t="e">
        <f t="shared" ca="1" si="24"/>
        <v>#N/A</v>
      </c>
      <c r="I16" s="206" t="e">
        <f t="shared" ca="1" si="24"/>
        <v>#N/A</v>
      </c>
      <c r="K16" s="352" t="s">
        <v>85</v>
      </c>
      <c r="L16" s="579" t="e">
        <f t="shared" ref="L16:S16" ca="1" si="25">IF(L12&gt;ALLACC,ACCTM,SQRT((L12/12)/ACCEL))</f>
        <v>#N/A</v>
      </c>
      <c r="M16" s="55" t="e">
        <f t="shared" ca="1" si="25"/>
        <v>#N/A</v>
      </c>
      <c r="N16" s="55" t="e">
        <f t="shared" ca="1" si="25"/>
        <v>#N/A</v>
      </c>
      <c r="O16" s="55" t="e">
        <f t="shared" ca="1" si="25"/>
        <v>#N/A</v>
      </c>
      <c r="P16" s="55" t="e">
        <f t="shared" ca="1" si="25"/>
        <v>#N/A</v>
      </c>
      <c r="Q16" s="55" t="e">
        <f t="shared" ca="1" si="25"/>
        <v>#N/A</v>
      </c>
      <c r="R16" s="55" t="e">
        <f t="shared" ca="1" si="25"/>
        <v>#N/A</v>
      </c>
      <c r="S16" s="206" t="e">
        <f t="shared" ca="1" si="25"/>
        <v>#N/A</v>
      </c>
    </row>
    <row r="17" spans="1:19" ht="15.75" thickBot="1" x14ac:dyDescent="0.3">
      <c r="A17" s="352" t="s">
        <v>633</v>
      </c>
      <c r="B17" s="579" t="e">
        <f t="shared" ref="B17:I17" ca="1" si="26">(B16*2)+B14+SETTM</f>
        <v>#N/A</v>
      </c>
      <c r="C17" s="55" t="e">
        <f t="shared" ca="1" si="26"/>
        <v>#N/A</v>
      </c>
      <c r="D17" s="55" t="e">
        <f t="shared" ca="1" si="26"/>
        <v>#N/A</v>
      </c>
      <c r="E17" s="55" t="e">
        <f t="shared" ca="1" si="26"/>
        <v>#N/A</v>
      </c>
      <c r="F17" s="55" t="e">
        <f t="shared" ca="1" si="26"/>
        <v>#N/A</v>
      </c>
      <c r="G17" s="55" t="e">
        <f t="shared" ca="1" si="26"/>
        <v>#N/A</v>
      </c>
      <c r="H17" s="55" t="e">
        <f t="shared" ca="1" si="26"/>
        <v>#N/A</v>
      </c>
      <c r="I17" s="206" t="e">
        <f t="shared" ca="1" si="26"/>
        <v>#N/A</v>
      </c>
      <c r="K17" s="352" t="s">
        <v>633</v>
      </c>
      <c r="L17" s="579" t="e">
        <f t="shared" ref="L17:S17" ca="1" si="27">(L16*2)+L14+SETTM</f>
        <v>#N/A</v>
      </c>
      <c r="M17" s="55" t="e">
        <f t="shared" ca="1" si="27"/>
        <v>#N/A</v>
      </c>
      <c r="N17" s="55" t="e">
        <f t="shared" ca="1" si="27"/>
        <v>#N/A</v>
      </c>
      <c r="O17" s="55" t="e">
        <f t="shared" ca="1" si="27"/>
        <v>#N/A</v>
      </c>
      <c r="P17" s="55" t="e">
        <f t="shared" ca="1" si="27"/>
        <v>#N/A</v>
      </c>
      <c r="Q17" s="55" t="e">
        <f t="shared" ca="1" si="27"/>
        <v>#N/A</v>
      </c>
      <c r="R17" s="55" t="e">
        <f t="shared" ca="1" si="27"/>
        <v>#N/A</v>
      </c>
      <c r="S17" s="206" t="e">
        <f t="shared" ca="1" si="27"/>
        <v>#N/A</v>
      </c>
    </row>
    <row r="18" spans="1:19" ht="15.75" thickBot="1" x14ac:dyDescent="0.3">
      <c r="A18" s="352" t="s">
        <v>634</v>
      </c>
      <c r="B18" s="579" t="e">
        <f t="shared" ref="B18:I18" ca="1" si="28">IF(application="Press Feed",B17*(360/FA),B17+FA)</f>
        <v>#N/A</v>
      </c>
      <c r="C18" s="55" t="e">
        <f t="shared" ca="1" si="28"/>
        <v>#N/A</v>
      </c>
      <c r="D18" s="55" t="e">
        <f t="shared" ca="1" si="28"/>
        <v>#N/A</v>
      </c>
      <c r="E18" s="55" t="e">
        <f t="shared" ca="1" si="28"/>
        <v>#N/A</v>
      </c>
      <c r="F18" s="55" t="e">
        <f t="shared" ca="1" si="28"/>
        <v>#N/A</v>
      </c>
      <c r="G18" s="55" t="e">
        <f t="shared" ca="1" si="28"/>
        <v>#N/A</v>
      </c>
      <c r="H18" s="55" t="e">
        <f t="shared" ca="1" si="28"/>
        <v>#N/A</v>
      </c>
      <c r="I18" s="206" t="e">
        <f t="shared" ca="1" si="28"/>
        <v>#N/A</v>
      </c>
      <c r="K18" s="352" t="s">
        <v>634</v>
      </c>
      <c r="L18" s="579" t="e">
        <f t="shared" ref="L18:S18" ca="1" si="29">IF(application="Press Feed",L17*(360/FA_2),L17+FA_2)</f>
        <v>#N/A</v>
      </c>
      <c r="M18" s="360" t="e">
        <f t="shared" ca="1" si="29"/>
        <v>#N/A</v>
      </c>
      <c r="N18" s="360" t="e">
        <f t="shared" ca="1" si="29"/>
        <v>#N/A</v>
      </c>
      <c r="O18" s="360" t="e">
        <f t="shared" ca="1" si="29"/>
        <v>#N/A</v>
      </c>
      <c r="P18" s="360" t="e">
        <f t="shared" ca="1" si="29"/>
        <v>#N/A</v>
      </c>
      <c r="Q18" s="360" t="e">
        <f t="shared" ca="1" si="29"/>
        <v>#N/A</v>
      </c>
      <c r="R18" s="360" t="e">
        <f t="shared" ca="1" si="29"/>
        <v>#N/A</v>
      </c>
      <c r="S18" s="580" t="e">
        <f t="shared" ca="1" si="29"/>
        <v>#N/A</v>
      </c>
    </row>
    <row r="19" spans="1:19" ht="15.75" thickBot="1" x14ac:dyDescent="0.3">
      <c r="A19" s="352" t="s">
        <v>635</v>
      </c>
      <c r="B19" s="576" t="e">
        <f t="shared" ref="B19:I19" ca="1" si="30">IF(60/B18*B12&lt;StrMaxSpInch,ROUNDDOWN(60/B18,0),ROUNDDOWN(StrMaxSpInch/B12,0))</f>
        <v>#N/A</v>
      </c>
      <c r="C19" s="233" t="e">
        <f t="shared" ca="1" si="30"/>
        <v>#N/A</v>
      </c>
      <c r="D19" s="233" t="e">
        <f t="shared" ca="1" si="30"/>
        <v>#N/A</v>
      </c>
      <c r="E19" s="233" t="e">
        <f t="shared" ca="1" si="30"/>
        <v>#N/A</v>
      </c>
      <c r="F19" s="233" t="e">
        <f t="shared" ca="1" si="30"/>
        <v>#N/A</v>
      </c>
      <c r="G19" s="233" t="e">
        <f t="shared" ca="1" si="30"/>
        <v>#N/A</v>
      </c>
      <c r="H19" s="233" t="e">
        <f t="shared" ca="1" si="30"/>
        <v>#N/A</v>
      </c>
      <c r="I19" s="389" t="e">
        <f t="shared" ca="1" si="30"/>
        <v>#N/A</v>
      </c>
      <c r="K19" s="352" t="s">
        <v>635</v>
      </c>
      <c r="L19" s="576" t="e">
        <f t="shared" ref="L19:S19" ca="1" si="31">IF(60/L18*L12&lt;StrMaxSpInch,ROUNDDOWN(60/L18,0),ROUNDDOWN(StrMaxSpInch/L12,0))</f>
        <v>#N/A</v>
      </c>
      <c r="M19" s="233" t="e">
        <f t="shared" ca="1" si="31"/>
        <v>#N/A</v>
      </c>
      <c r="N19" s="233" t="e">
        <f t="shared" ca="1" si="31"/>
        <v>#N/A</v>
      </c>
      <c r="O19" s="233" t="e">
        <f t="shared" ca="1" si="31"/>
        <v>#N/A</v>
      </c>
      <c r="P19" s="233" t="e">
        <f t="shared" ca="1" si="31"/>
        <v>#N/A</v>
      </c>
      <c r="Q19" s="233" t="e">
        <f t="shared" ca="1" si="31"/>
        <v>#N/A</v>
      </c>
      <c r="R19" s="233" t="e">
        <f t="shared" ca="1" si="31"/>
        <v>#N/A</v>
      </c>
      <c r="S19" s="389" t="e">
        <f t="shared" ca="1" si="31"/>
        <v>#N/A</v>
      </c>
    </row>
    <row r="20" spans="1:19" ht="15.75" thickBot="1" x14ac:dyDescent="0.3">
      <c r="I20" s="201"/>
      <c r="S20" s="201"/>
    </row>
    <row r="21" spans="1:19" ht="15.75" thickBot="1" x14ac:dyDescent="0.3">
      <c r="A21" s="352" t="s">
        <v>123</v>
      </c>
      <c r="B21" s="363">
        <f ca="1">I12+INCR</f>
        <v>64</v>
      </c>
      <c r="C21" s="354">
        <f t="shared" ref="C21:I21" ca="1" si="32">B21+INCR</f>
        <v>68</v>
      </c>
      <c r="D21" s="354">
        <f t="shared" ca="1" si="32"/>
        <v>72</v>
      </c>
      <c r="E21" s="354">
        <f t="shared" ca="1" si="32"/>
        <v>76</v>
      </c>
      <c r="F21" s="354">
        <f t="shared" ca="1" si="32"/>
        <v>80</v>
      </c>
      <c r="G21" s="354">
        <f t="shared" ca="1" si="32"/>
        <v>84</v>
      </c>
      <c r="H21" s="354">
        <f t="shared" ca="1" si="32"/>
        <v>88</v>
      </c>
      <c r="I21" s="354">
        <f t="shared" ca="1" si="32"/>
        <v>92</v>
      </c>
      <c r="K21" s="352" t="s">
        <v>123</v>
      </c>
      <c r="L21" s="363">
        <f ca="1">S12+INCR</f>
        <v>64</v>
      </c>
      <c r="M21" s="354">
        <f t="shared" ref="M21:S21" ca="1" si="33">L21+INCR</f>
        <v>68</v>
      </c>
      <c r="N21" s="354">
        <f t="shared" ca="1" si="33"/>
        <v>72</v>
      </c>
      <c r="O21" s="354">
        <f t="shared" ca="1" si="33"/>
        <v>76</v>
      </c>
      <c r="P21" s="354">
        <f t="shared" ca="1" si="33"/>
        <v>80</v>
      </c>
      <c r="Q21" s="354">
        <f t="shared" ca="1" si="33"/>
        <v>84</v>
      </c>
      <c r="R21" s="354">
        <f t="shared" ca="1" si="33"/>
        <v>88</v>
      </c>
      <c r="S21" s="354">
        <f t="shared" ca="1" si="33"/>
        <v>92</v>
      </c>
    </row>
    <row r="22" spans="1:19" ht="15.75" thickBot="1" x14ac:dyDescent="0.3">
      <c r="A22" s="352" t="s">
        <v>630</v>
      </c>
      <c r="B22" s="573" t="e">
        <f t="shared" ref="B22:I22" ca="1" si="34">SQRT((((PEAKTQ^2)*B25)+(((ACCTQ-STR_TO-FRICTQ-LOOPTQ)^2)*B25)+(((FRICTQ+LOOPTQ+STR_TO)^2)*B23)+(((SETTQ+LOOPTQ)^2)*SETTM)+((LOOPTQ^2)*B24))/B27)</f>
        <v>#N/A</v>
      </c>
      <c r="C22" s="577" t="e">
        <f t="shared" ca="1" si="34"/>
        <v>#N/A</v>
      </c>
      <c r="D22" s="577" t="e">
        <f t="shared" ca="1" si="34"/>
        <v>#N/A</v>
      </c>
      <c r="E22" s="577" t="e">
        <f t="shared" ca="1" si="34"/>
        <v>#N/A</v>
      </c>
      <c r="F22" s="577" t="e">
        <f t="shared" ca="1" si="34"/>
        <v>#N/A</v>
      </c>
      <c r="G22" s="577" t="e">
        <f t="shared" ca="1" si="34"/>
        <v>#N/A</v>
      </c>
      <c r="H22" s="577" t="e">
        <f t="shared" ca="1" si="34"/>
        <v>#N/A</v>
      </c>
      <c r="I22" s="578" t="e">
        <f t="shared" ca="1" si="34"/>
        <v>#N/A</v>
      </c>
      <c r="K22" s="352" t="s">
        <v>630</v>
      </c>
      <c r="L22" s="573" t="e">
        <f t="shared" ref="L22:S22" ca="1" si="35">SQRT((((PEAKTQ^2)*L25)+(((ACCTQ-STR_TO-FRICTQ-LOOPTQ)^2)*L25)+(((FRICTQ+LOOPTQ+STR_TO)^2)*L23)+(((SETTQ+LOOPTQ)^2)*SETTM)+((LOOPTQ^2)*L24))/L27)</f>
        <v>#N/A</v>
      </c>
      <c r="M22" s="577" t="e">
        <f t="shared" ca="1" si="35"/>
        <v>#N/A</v>
      </c>
      <c r="N22" s="577" t="e">
        <f t="shared" ca="1" si="35"/>
        <v>#N/A</v>
      </c>
      <c r="O22" s="577" t="e">
        <f t="shared" ca="1" si="35"/>
        <v>#N/A</v>
      </c>
      <c r="P22" s="577" t="e">
        <f t="shared" ca="1" si="35"/>
        <v>#N/A</v>
      </c>
      <c r="Q22" s="577" t="e">
        <f t="shared" ca="1" si="35"/>
        <v>#N/A</v>
      </c>
      <c r="R22" s="577" t="e">
        <f t="shared" ca="1" si="35"/>
        <v>#N/A</v>
      </c>
      <c r="S22" s="578" t="e">
        <f t="shared" ca="1" si="35"/>
        <v>#N/A</v>
      </c>
    </row>
    <row r="23" spans="1:19" ht="15.75" thickBot="1" x14ac:dyDescent="0.3">
      <c r="A23" s="352" t="s">
        <v>631</v>
      </c>
      <c r="B23" s="579" t="e">
        <f t="shared" ref="B23:I23" ca="1" si="36">IF(B21&gt;ALLACC,((B21-ALLACC)/12)/vel,0)</f>
        <v>#N/A</v>
      </c>
      <c r="C23" s="55" t="e">
        <f t="shared" ca="1" si="36"/>
        <v>#N/A</v>
      </c>
      <c r="D23" s="55" t="e">
        <f t="shared" ca="1" si="36"/>
        <v>#N/A</v>
      </c>
      <c r="E23" s="55" t="e">
        <f t="shared" ca="1" si="36"/>
        <v>#N/A</v>
      </c>
      <c r="F23" s="55" t="e">
        <f t="shared" ca="1" si="36"/>
        <v>#N/A</v>
      </c>
      <c r="G23" s="55" t="e">
        <f t="shared" ca="1" si="36"/>
        <v>#N/A</v>
      </c>
      <c r="H23" s="55" t="e">
        <f t="shared" ca="1" si="36"/>
        <v>#N/A</v>
      </c>
      <c r="I23" s="206" t="e">
        <f t="shared" ca="1" si="36"/>
        <v>#N/A</v>
      </c>
      <c r="K23" s="352" t="s">
        <v>631</v>
      </c>
      <c r="L23" s="579" t="e">
        <f t="shared" ref="L23:S23" ca="1" si="37">IF(L21&gt;ALLACC,((L21-ALLACC)/12)/vel,0)</f>
        <v>#N/A</v>
      </c>
      <c r="M23" s="55" t="e">
        <f t="shared" ca="1" si="37"/>
        <v>#N/A</v>
      </c>
      <c r="N23" s="55" t="e">
        <f t="shared" ca="1" si="37"/>
        <v>#N/A</v>
      </c>
      <c r="O23" s="55" t="e">
        <f t="shared" ca="1" si="37"/>
        <v>#N/A</v>
      </c>
      <c r="P23" s="55" t="e">
        <f t="shared" ca="1" si="37"/>
        <v>#N/A</v>
      </c>
      <c r="Q23" s="55" t="e">
        <f t="shared" ca="1" si="37"/>
        <v>#N/A</v>
      </c>
      <c r="R23" s="55" t="e">
        <f t="shared" ca="1" si="37"/>
        <v>#N/A</v>
      </c>
      <c r="S23" s="206" t="e">
        <f t="shared" ca="1" si="37"/>
        <v>#N/A</v>
      </c>
    </row>
    <row r="24" spans="1:19" ht="15.75" thickBot="1" x14ac:dyDescent="0.3">
      <c r="A24" s="352" t="s">
        <v>632</v>
      </c>
      <c r="B24" s="579" t="e">
        <f t="shared" ref="B24:I24" ca="1" si="38">B27-B26</f>
        <v>#N/A</v>
      </c>
      <c r="C24" s="55" t="e">
        <f t="shared" ca="1" si="38"/>
        <v>#N/A</v>
      </c>
      <c r="D24" s="55" t="e">
        <f t="shared" ca="1" si="38"/>
        <v>#N/A</v>
      </c>
      <c r="E24" s="55" t="e">
        <f t="shared" ca="1" si="38"/>
        <v>#N/A</v>
      </c>
      <c r="F24" s="55" t="e">
        <f t="shared" ca="1" si="38"/>
        <v>#N/A</v>
      </c>
      <c r="G24" s="55" t="e">
        <f t="shared" ca="1" si="38"/>
        <v>#N/A</v>
      </c>
      <c r="H24" s="55" t="e">
        <f t="shared" ca="1" si="38"/>
        <v>#N/A</v>
      </c>
      <c r="I24" s="206" t="e">
        <f t="shared" ca="1" si="38"/>
        <v>#N/A</v>
      </c>
      <c r="K24" s="352" t="s">
        <v>632</v>
      </c>
      <c r="L24" s="579" t="e">
        <f t="shared" ref="L24:S24" ca="1" si="39">L27-L26</f>
        <v>#N/A</v>
      </c>
      <c r="M24" s="55" t="e">
        <f t="shared" ca="1" si="39"/>
        <v>#N/A</v>
      </c>
      <c r="N24" s="55" t="e">
        <f t="shared" ca="1" si="39"/>
        <v>#N/A</v>
      </c>
      <c r="O24" s="55" t="e">
        <f t="shared" ca="1" si="39"/>
        <v>#N/A</v>
      </c>
      <c r="P24" s="55" t="e">
        <f t="shared" ca="1" si="39"/>
        <v>#N/A</v>
      </c>
      <c r="Q24" s="55" t="e">
        <f t="shared" ca="1" si="39"/>
        <v>#N/A</v>
      </c>
      <c r="R24" s="55" t="e">
        <f t="shared" ca="1" si="39"/>
        <v>#N/A</v>
      </c>
      <c r="S24" s="206" t="e">
        <f t="shared" ca="1" si="39"/>
        <v>#N/A</v>
      </c>
    </row>
    <row r="25" spans="1:19" ht="15.75" thickBot="1" x14ac:dyDescent="0.3">
      <c r="A25" s="352" t="s">
        <v>85</v>
      </c>
      <c r="B25" s="579" t="e">
        <f t="shared" ref="B25:I25" ca="1" si="40">IF(B21&gt;ALLACC,ACCTM,SQRT((B21/12)/ACCEL))</f>
        <v>#N/A</v>
      </c>
      <c r="C25" s="55" t="e">
        <f t="shared" ca="1" si="40"/>
        <v>#N/A</v>
      </c>
      <c r="D25" s="55" t="e">
        <f t="shared" ca="1" si="40"/>
        <v>#N/A</v>
      </c>
      <c r="E25" s="55" t="e">
        <f t="shared" ca="1" si="40"/>
        <v>#N/A</v>
      </c>
      <c r="F25" s="55" t="e">
        <f t="shared" ca="1" si="40"/>
        <v>#N/A</v>
      </c>
      <c r="G25" s="55" t="e">
        <f t="shared" ca="1" si="40"/>
        <v>#N/A</v>
      </c>
      <c r="H25" s="55" t="e">
        <f t="shared" ca="1" si="40"/>
        <v>#N/A</v>
      </c>
      <c r="I25" s="206" t="e">
        <f t="shared" ca="1" si="40"/>
        <v>#N/A</v>
      </c>
      <c r="K25" s="352" t="s">
        <v>85</v>
      </c>
      <c r="L25" s="579" t="e">
        <f t="shared" ref="L25:S25" ca="1" si="41">IF(L21&gt;ALLACC,ACCTM,SQRT((L21/12)/ACCEL))</f>
        <v>#N/A</v>
      </c>
      <c r="M25" s="55" t="e">
        <f t="shared" ca="1" si="41"/>
        <v>#N/A</v>
      </c>
      <c r="N25" s="55" t="e">
        <f t="shared" ca="1" si="41"/>
        <v>#N/A</v>
      </c>
      <c r="O25" s="55" t="e">
        <f t="shared" ca="1" si="41"/>
        <v>#N/A</v>
      </c>
      <c r="P25" s="55" t="e">
        <f t="shared" ca="1" si="41"/>
        <v>#N/A</v>
      </c>
      <c r="Q25" s="55" t="e">
        <f t="shared" ca="1" si="41"/>
        <v>#N/A</v>
      </c>
      <c r="R25" s="55" t="e">
        <f t="shared" ca="1" si="41"/>
        <v>#N/A</v>
      </c>
      <c r="S25" s="206" t="e">
        <f t="shared" ca="1" si="41"/>
        <v>#N/A</v>
      </c>
    </row>
    <row r="26" spans="1:19" ht="15.75" thickBot="1" x14ac:dyDescent="0.3">
      <c r="A26" s="352" t="s">
        <v>633</v>
      </c>
      <c r="B26" s="579" t="e">
        <f t="shared" ref="B26:I26" ca="1" si="42">(B25*2)+B23+SETTM</f>
        <v>#N/A</v>
      </c>
      <c r="C26" s="55" t="e">
        <f t="shared" ca="1" si="42"/>
        <v>#N/A</v>
      </c>
      <c r="D26" s="55" t="e">
        <f t="shared" ca="1" si="42"/>
        <v>#N/A</v>
      </c>
      <c r="E26" s="55" t="e">
        <f t="shared" ca="1" si="42"/>
        <v>#N/A</v>
      </c>
      <c r="F26" s="55" t="e">
        <f t="shared" ca="1" si="42"/>
        <v>#N/A</v>
      </c>
      <c r="G26" s="55" t="e">
        <f t="shared" ca="1" si="42"/>
        <v>#N/A</v>
      </c>
      <c r="H26" s="55" t="e">
        <f t="shared" ca="1" si="42"/>
        <v>#N/A</v>
      </c>
      <c r="I26" s="206" t="e">
        <f t="shared" ca="1" si="42"/>
        <v>#N/A</v>
      </c>
      <c r="K26" s="352" t="s">
        <v>633</v>
      </c>
      <c r="L26" s="579" t="e">
        <f t="shared" ref="L26:S26" ca="1" si="43">(L25*2)+L23+SETTM</f>
        <v>#N/A</v>
      </c>
      <c r="M26" s="55" t="e">
        <f t="shared" ca="1" si="43"/>
        <v>#N/A</v>
      </c>
      <c r="N26" s="55" t="e">
        <f t="shared" ca="1" si="43"/>
        <v>#N/A</v>
      </c>
      <c r="O26" s="55" t="e">
        <f t="shared" ca="1" si="43"/>
        <v>#N/A</v>
      </c>
      <c r="P26" s="55" t="e">
        <f t="shared" ca="1" si="43"/>
        <v>#N/A</v>
      </c>
      <c r="Q26" s="55" t="e">
        <f t="shared" ca="1" si="43"/>
        <v>#N/A</v>
      </c>
      <c r="R26" s="55" t="e">
        <f t="shared" ca="1" si="43"/>
        <v>#N/A</v>
      </c>
      <c r="S26" s="206" t="e">
        <f t="shared" ca="1" si="43"/>
        <v>#N/A</v>
      </c>
    </row>
    <row r="27" spans="1:19" ht="15.75" thickBot="1" x14ac:dyDescent="0.3">
      <c r="A27" s="352" t="s">
        <v>634</v>
      </c>
      <c r="B27" s="579" t="e">
        <f t="shared" ref="B27:I27" ca="1" si="44">IF(application="Press Feed",B26*(360/FA),B26+FA)</f>
        <v>#N/A</v>
      </c>
      <c r="C27" s="360" t="e">
        <f t="shared" ca="1" si="44"/>
        <v>#N/A</v>
      </c>
      <c r="D27" s="360" t="e">
        <f t="shared" ca="1" si="44"/>
        <v>#N/A</v>
      </c>
      <c r="E27" s="360" t="e">
        <f t="shared" ca="1" si="44"/>
        <v>#N/A</v>
      </c>
      <c r="F27" s="360" t="e">
        <f t="shared" ca="1" si="44"/>
        <v>#N/A</v>
      </c>
      <c r="G27" s="360" t="e">
        <f t="shared" ca="1" si="44"/>
        <v>#N/A</v>
      </c>
      <c r="H27" s="360" t="e">
        <f t="shared" ca="1" si="44"/>
        <v>#N/A</v>
      </c>
      <c r="I27" s="580" t="e">
        <f t="shared" ca="1" si="44"/>
        <v>#N/A</v>
      </c>
      <c r="K27" s="352" t="s">
        <v>634</v>
      </c>
      <c r="L27" s="579" t="e">
        <f t="shared" ref="L27:S27" ca="1" si="45">IF(application="Press Feed",L26*(360/FA_2),L26+FA_2)</f>
        <v>#N/A</v>
      </c>
      <c r="M27" s="360" t="e">
        <f t="shared" ca="1" si="45"/>
        <v>#N/A</v>
      </c>
      <c r="N27" s="360" t="e">
        <f t="shared" ca="1" si="45"/>
        <v>#N/A</v>
      </c>
      <c r="O27" s="360" t="e">
        <f t="shared" ca="1" si="45"/>
        <v>#N/A</v>
      </c>
      <c r="P27" s="360" t="e">
        <f t="shared" ca="1" si="45"/>
        <v>#N/A</v>
      </c>
      <c r="Q27" s="360" t="e">
        <f t="shared" ca="1" si="45"/>
        <v>#N/A</v>
      </c>
      <c r="R27" s="360" t="e">
        <f t="shared" ca="1" si="45"/>
        <v>#N/A</v>
      </c>
      <c r="S27" s="580" t="e">
        <f t="shared" ca="1" si="45"/>
        <v>#N/A</v>
      </c>
    </row>
    <row r="28" spans="1:19" ht="15.75" thickBot="1" x14ac:dyDescent="0.3">
      <c r="A28" s="352" t="s">
        <v>635</v>
      </c>
      <c r="B28" s="576" t="e">
        <f t="shared" ref="B28:I28" ca="1" si="46">IF(60/B27*B21&lt;StrMaxSpInch,ROUNDDOWN(60/B27,0),ROUNDDOWN(StrMaxSpInch/B21,0))</f>
        <v>#N/A</v>
      </c>
      <c r="C28" s="233" t="e">
        <f t="shared" ca="1" si="46"/>
        <v>#N/A</v>
      </c>
      <c r="D28" s="233" t="e">
        <f t="shared" ca="1" si="46"/>
        <v>#N/A</v>
      </c>
      <c r="E28" s="233" t="e">
        <f t="shared" ca="1" si="46"/>
        <v>#N/A</v>
      </c>
      <c r="F28" s="233" t="e">
        <f t="shared" ca="1" si="46"/>
        <v>#N/A</v>
      </c>
      <c r="G28" s="233" t="e">
        <f t="shared" ca="1" si="46"/>
        <v>#N/A</v>
      </c>
      <c r="H28" s="233" t="e">
        <f t="shared" ca="1" si="46"/>
        <v>#N/A</v>
      </c>
      <c r="I28" s="389" t="e">
        <f t="shared" ca="1" si="46"/>
        <v>#N/A</v>
      </c>
      <c r="K28" s="352" t="s">
        <v>635</v>
      </c>
      <c r="L28" s="576" t="e">
        <f t="shared" ref="L28:S28" ca="1" si="47">IF(60/L27*L21&lt;StrMaxSpInch,ROUNDDOWN(60/L27,0),ROUNDDOWN(StrMaxSpInch/L21,0))</f>
        <v>#N/A</v>
      </c>
      <c r="M28" s="233" t="e">
        <f t="shared" ca="1" si="47"/>
        <v>#N/A</v>
      </c>
      <c r="N28" s="233" t="e">
        <f t="shared" ca="1" si="47"/>
        <v>#N/A</v>
      </c>
      <c r="O28" s="233" t="e">
        <f t="shared" ca="1" si="47"/>
        <v>#N/A</v>
      </c>
      <c r="P28" s="233" t="e">
        <f t="shared" ca="1" si="47"/>
        <v>#N/A</v>
      </c>
      <c r="Q28" s="233" t="e">
        <f t="shared" ca="1" si="47"/>
        <v>#N/A</v>
      </c>
      <c r="R28" s="233" t="e">
        <f t="shared" ca="1" si="47"/>
        <v>#N/A</v>
      </c>
      <c r="S28" s="389" t="e">
        <f t="shared" ca="1" si="47"/>
        <v>#N/A</v>
      </c>
    </row>
    <row r="31" spans="1:19" x14ac:dyDescent="0.25">
      <c r="A31" s="600" t="s">
        <v>1011</v>
      </c>
      <c r="B31" s="600"/>
      <c r="D31" s="601" t="s">
        <v>1007</v>
      </c>
      <c r="E31" s="600"/>
    </row>
    <row r="32" spans="1:19" x14ac:dyDescent="0.25">
      <c r="A32" s="600" t="s">
        <v>917</v>
      </c>
      <c r="B32" s="600" t="e">
        <f ca="1">INDIRECT("'" &amp; A$31 &amp; "'!" &amp; A32)</f>
        <v>#N/A</v>
      </c>
      <c r="D32" s="600" t="s">
        <v>905</v>
      </c>
      <c r="E32" s="600">
        <f t="shared" ref="E32:E69" ca="1" si="48">INDIRECT("'" &amp; $D$31 &amp; "'!" &amp; $D32)</f>
        <v>80</v>
      </c>
    </row>
    <row r="33" spans="1:5" x14ac:dyDescent="0.25">
      <c r="A33" s="600" t="s">
        <v>490</v>
      </c>
      <c r="B33" s="600" t="e">
        <f t="shared" ref="B33:B40" ca="1" si="49">INDIRECT("'" &amp; A$31 &amp; "'!" &amp; A33)</f>
        <v>#N/A</v>
      </c>
      <c r="D33" s="600" t="s">
        <v>910</v>
      </c>
      <c r="E33" s="600" t="e">
        <f t="shared" ca="1" si="48"/>
        <v>#N/A</v>
      </c>
    </row>
    <row r="34" spans="1:5" x14ac:dyDescent="0.25">
      <c r="A34" s="600" t="s">
        <v>920</v>
      </c>
      <c r="B34" s="600" t="e">
        <f t="shared" ca="1" si="49"/>
        <v>#N/A</v>
      </c>
      <c r="D34" s="600" t="s">
        <v>911</v>
      </c>
      <c r="E34" s="600" t="e">
        <f t="shared" ca="1" si="48"/>
        <v>#N/A</v>
      </c>
    </row>
    <row r="35" spans="1:5" x14ac:dyDescent="0.25">
      <c r="A35" s="600" t="s">
        <v>921</v>
      </c>
      <c r="B35" s="600" t="e">
        <f t="shared" ca="1" si="49"/>
        <v>#N/A</v>
      </c>
      <c r="D35" s="600" t="s">
        <v>914</v>
      </c>
      <c r="E35" s="600" t="str">
        <f t="shared" ca="1" si="48"/>
        <v>Press Feed</v>
      </c>
    </row>
    <row r="36" spans="1:5" x14ac:dyDescent="0.25">
      <c r="A36" s="600" t="s">
        <v>922</v>
      </c>
      <c r="B36" s="600" t="e">
        <f t="shared" ca="1" si="49"/>
        <v>#N/A</v>
      </c>
      <c r="D36" s="600" t="s">
        <v>923</v>
      </c>
      <c r="E36" s="600">
        <f t="shared" ca="1" si="48"/>
        <v>180</v>
      </c>
    </row>
    <row r="37" spans="1:5" x14ac:dyDescent="0.25">
      <c r="A37" s="600" t="s">
        <v>928</v>
      </c>
      <c r="B37" s="600" t="e">
        <f t="shared" ca="1" si="49"/>
        <v>#N/A</v>
      </c>
      <c r="D37" s="600" t="s">
        <v>924</v>
      </c>
      <c r="E37" s="600">
        <f t="shared" ca="1" si="48"/>
        <v>240</v>
      </c>
    </row>
    <row r="38" spans="1:5" x14ac:dyDescent="0.25">
      <c r="A38" s="600" t="s">
        <v>939</v>
      </c>
      <c r="B38" s="600" t="e">
        <f t="shared" ca="1" si="49"/>
        <v>#N/A</v>
      </c>
      <c r="D38" s="600" t="s">
        <v>925</v>
      </c>
      <c r="E38" s="600" t="e">
        <f t="shared" ca="1" si="48"/>
        <v>#N/A</v>
      </c>
    </row>
    <row r="39" spans="1:5" x14ac:dyDescent="0.25">
      <c r="A39" s="600" t="s">
        <v>947</v>
      </c>
      <c r="B39" s="600" t="e">
        <f t="shared" ca="1" si="49"/>
        <v>#N/A</v>
      </c>
      <c r="D39" s="600" t="s">
        <v>926</v>
      </c>
      <c r="E39" s="600">
        <f t="shared" ca="1" si="48"/>
        <v>4</v>
      </c>
    </row>
    <row r="40" spans="1:5" x14ac:dyDescent="0.25">
      <c r="A40" s="600" t="s">
        <v>948</v>
      </c>
      <c r="B40" s="600" t="e">
        <f t="shared" ca="1" si="49"/>
        <v>#N/A</v>
      </c>
      <c r="D40" s="600" t="s">
        <v>927</v>
      </c>
      <c r="E40" s="600" t="e">
        <f t="shared" ca="1" si="48"/>
        <v>#N/A</v>
      </c>
    </row>
    <row r="41" spans="1:5" x14ac:dyDescent="0.25">
      <c r="D41" s="600" t="s">
        <v>466</v>
      </c>
      <c r="E41" s="600" t="e">
        <f t="shared" ca="1" si="48"/>
        <v>#N/A</v>
      </c>
    </row>
    <row r="42" spans="1:5" x14ac:dyDescent="0.25">
      <c r="D42" s="600" t="s">
        <v>906</v>
      </c>
      <c r="E42" s="600" t="str">
        <f t="shared" ca="1" si="48"/>
        <v>HS Steel</v>
      </c>
    </row>
    <row r="43" spans="1:5" x14ac:dyDescent="0.25">
      <c r="D43" s="600" t="s">
        <v>929</v>
      </c>
      <c r="E43" s="600">
        <f t="shared" ca="1" si="48"/>
        <v>4</v>
      </c>
    </row>
    <row r="44" spans="1:5" x14ac:dyDescent="0.25">
      <c r="D44" s="600" t="s">
        <v>930</v>
      </c>
      <c r="E44" s="600" t="e">
        <f t="shared" ca="1" si="48"/>
        <v>#N/A</v>
      </c>
    </row>
    <row r="45" spans="1:5" x14ac:dyDescent="0.25">
      <c r="D45" s="600" t="s">
        <v>931</v>
      </c>
      <c r="E45" s="600">
        <f t="shared" ca="1" si="48"/>
        <v>0</v>
      </c>
    </row>
    <row r="46" spans="1:5" x14ac:dyDescent="0.25">
      <c r="D46" s="600" t="s">
        <v>934</v>
      </c>
      <c r="E46" s="600" t="e">
        <f t="shared" ca="1" si="48"/>
        <v>#N/A</v>
      </c>
    </row>
    <row r="47" spans="1:5" x14ac:dyDescent="0.25">
      <c r="D47" s="600" t="s">
        <v>935</v>
      </c>
      <c r="E47" s="600" t="e">
        <f t="shared" ca="1" si="48"/>
        <v>#N/A</v>
      </c>
    </row>
    <row r="48" spans="1:5" x14ac:dyDescent="0.25">
      <c r="D48" s="600" t="s">
        <v>936</v>
      </c>
      <c r="E48" s="600" t="e">
        <f t="shared" ca="1" si="48"/>
        <v>#N/A</v>
      </c>
    </row>
    <row r="49" spans="4:5" x14ac:dyDescent="0.25">
      <c r="D49" s="600" t="s">
        <v>937</v>
      </c>
      <c r="E49" s="600" t="e">
        <f t="shared" ca="1" si="48"/>
        <v>#N/A</v>
      </c>
    </row>
    <row r="50" spans="4:5" x14ac:dyDescent="0.25">
      <c r="D50" s="600" t="s">
        <v>103</v>
      </c>
      <c r="E50" s="600" t="e">
        <f t="shared" ca="1" si="48"/>
        <v>#N/A</v>
      </c>
    </row>
    <row r="51" spans="4:5" x14ac:dyDescent="0.25">
      <c r="D51" s="600" t="s">
        <v>938</v>
      </c>
      <c r="E51" s="600" t="e">
        <f t="shared" ca="1" si="48"/>
        <v>#N/A</v>
      </c>
    </row>
    <row r="52" spans="4:5" x14ac:dyDescent="0.25">
      <c r="D52" s="600" t="s">
        <v>940</v>
      </c>
      <c r="E52" s="600" t="e">
        <f t="shared" ca="1" si="48"/>
        <v>#N/A</v>
      </c>
    </row>
    <row r="53" spans="4:5" x14ac:dyDescent="0.25">
      <c r="D53" s="600" t="s">
        <v>941</v>
      </c>
      <c r="E53" s="600" t="e">
        <f t="shared" ca="1" si="48"/>
        <v>#N/A</v>
      </c>
    </row>
    <row r="54" spans="4:5" x14ac:dyDescent="0.25">
      <c r="D54" s="600" t="s">
        <v>942</v>
      </c>
      <c r="E54" s="600" t="str">
        <f t="shared" ca="1" si="48"/>
        <v>Y</v>
      </c>
    </row>
    <row r="55" spans="4:5" x14ac:dyDescent="0.25">
      <c r="D55" s="600" t="s">
        <v>517</v>
      </c>
      <c r="E55" s="600" t="e">
        <f t="shared" ca="1" si="48"/>
        <v>#N/A</v>
      </c>
    </row>
    <row r="56" spans="4:5" x14ac:dyDescent="0.25">
      <c r="D56" s="600" t="s">
        <v>943</v>
      </c>
      <c r="E56" s="600" t="e">
        <f t="shared" ca="1" si="48"/>
        <v>#N/A</v>
      </c>
    </row>
    <row r="57" spans="4:5" x14ac:dyDescent="0.25">
      <c r="D57" s="600" t="s">
        <v>944</v>
      </c>
      <c r="E57" s="600" t="e">
        <f t="shared" ca="1" si="48"/>
        <v>#N/A</v>
      </c>
    </row>
    <row r="58" spans="4:5" x14ac:dyDescent="0.25">
      <c r="D58" s="600" t="s">
        <v>1012</v>
      </c>
      <c r="E58" s="600">
        <f t="shared" ca="1" si="48"/>
        <v>5</v>
      </c>
    </row>
    <row r="59" spans="4:5" x14ac:dyDescent="0.25">
      <c r="D59" s="600" t="s">
        <v>1013</v>
      </c>
      <c r="E59" s="600">
        <f t="shared" ca="1" si="48"/>
        <v>2</v>
      </c>
    </row>
    <row r="60" spans="4:5" x14ac:dyDescent="0.25">
      <c r="D60" s="600" t="s">
        <v>945</v>
      </c>
      <c r="E60" s="600">
        <f t="shared" ca="1" si="48"/>
        <v>42</v>
      </c>
    </row>
    <row r="61" spans="4:5" x14ac:dyDescent="0.25">
      <c r="D61" s="600" t="s">
        <v>946</v>
      </c>
      <c r="E61" s="600">
        <f t="shared" ca="1" si="48"/>
        <v>504</v>
      </c>
    </row>
    <row r="62" spans="4:5" x14ac:dyDescent="0.25">
      <c r="D62" s="600" t="s">
        <v>1014</v>
      </c>
      <c r="E62" s="600" t="e">
        <f t="shared" ca="1" si="48"/>
        <v>#N/A</v>
      </c>
    </row>
    <row r="63" spans="4:5" x14ac:dyDescent="0.25">
      <c r="D63" s="600" t="s">
        <v>949</v>
      </c>
      <c r="E63" s="600" t="e">
        <f t="shared" ca="1" si="48"/>
        <v>#N/A</v>
      </c>
    </row>
    <row r="64" spans="4:5" x14ac:dyDescent="0.25">
      <c r="D64" s="600" t="s">
        <v>907</v>
      </c>
      <c r="E64" s="600">
        <f t="shared" ca="1" si="48"/>
        <v>0</v>
      </c>
    </row>
    <row r="65" spans="4:5" x14ac:dyDescent="0.25">
      <c r="D65" s="600" t="s">
        <v>980</v>
      </c>
      <c r="E65" s="600">
        <f t="shared" ca="1" si="48"/>
        <v>18</v>
      </c>
    </row>
    <row r="66" spans="4:5" x14ac:dyDescent="0.25">
      <c r="D66" s="600" t="s">
        <v>982</v>
      </c>
      <c r="E66" s="600">
        <f t="shared" ca="1" si="48"/>
        <v>0.25</v>
      </c>
    </row>
    <row r="67" spans="4:5" x14ac:dyDescent="0.25">
      <c r="D67" s="600" t="s">
        <v>984</v>
      </c>
      <c r="E67" s="600">
        <f t="shared" ca="1" si="48"/>
        <v>24</v>
      </c>
    </row>
    <row r="68" spans="4:5" x14ac:dyDescent="0.25">
      <c r="D68" s="600" t="s">
        <v>983</v>
      </c>
      <c r="E68" s="600">
        <f t="shared" ca="1" si="48"/>
        <v>0.28299999999999997</v>
      </c>
    </row>
    <row r="69" spans="4:5" x14ac:dyDescent="0.25">
      <c r="D69" s="600" t="s">
        <v>981</v>
      </c>
      <c r="E69" s="600">
        <f t="shared" ca="1" si="48"/>
        <v>282.74333882308139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AC29A8-F180-4B89-815F-99F1B4450B46}">
  <sheetPr codeName="Sheet20">
    <tabColor theme="1"/>
    <pageSetUpPr fitToPage="1"/>
  </sheetPr>
  <dimension ref="A4:G48"/>
  <sheetViews>
    <sheetView zoomScale="75" zoomScaleNormal="75" zoomScaleSheetLayoutView="70" workbookViewId="0">
      <selection activeCell="B27" sqref="B27"/>
    </sheetView>
  </sheetViews>
  <sheetFormatPr defaultRowHeight="15" x14ac:dyDescent="0.2"/>
  <cols>
    <col min="1" max="1" width="52.140625" style="171" customWidth="1"/>
    <col min="2" max="2" width="19" style="172" customWidth="1"/>
    <col min="3" max="3" width="43.7109375" style="170" bestFit="1" customWidth="1"/>
    <col min="4" max="4" width="13.5703125" style="178" customWidth="1"/>
    <col min="5" max="256" width="9.140625" style="170"/>
    <col min="257" max="257" width="52.140625" style="170" customWidth="1"/>
    <col min="258" max="258" width="19" style="170" customWidth="1"/>
    <col min="259" max="259" width="43.7109375" style="170" bestFit="1" customWidth="1"/>
    <col min="260" max="260" width="13.5703125" style="170" customWidth="1"/>
    <col min="261" max="512" width="9.140625" style="170"/>
    <col min="513" max="513" width="52.140625" style="170" customWidth="1"/>
    <col min="514" max="514" width="19" style="170" customWidth="1"/>
    <col min="515" max="515" width="43.7109375" style="170" bestFit="1" customWidth="1"/>
    <col min="516" max="516" width="13.5703125" style="170" customWidth="1"/>
    <col min="517" max="768" width="9.140625" style="170"/>
    <col min="769" max="769" width="52.140625" style="170" customWidth="1"/>
    <col min="770" max="770" width="19" style="170" customWidth="1"/>
    <col min="771" max="771" width="43.7109375" style="170" bestFit="1" customWidth="1"/>
    <col min="772" max="772" width="13.5703125" style="170" customWidth="1"/>
    <col min="773" max="1024" width="9.140625" style="170"/>
    <col min="1025" max="1025" width="52.140625" style="170" customWidth="1"/>
    <col min="1026" max="1026" width="19" style="170" customWidth="1"/>
    <col min="1027" max="1027" width="43.7109375" style="170" bestFit="1" customWidth="1"/>
    <col min="1028" max="1028" width="13.5703125" style="170" customWidth="1"/>
    <col min="1029" max="1280" width="9.140625" style="170"/>
    <col min="1281" max="1281" width="52.140625" style="170" customWidth="1"/>
    <col min="1282" max="1282" width="19" style="170" customWidth="1"/>
    <col min="1283" max="1283" width="43.7109375" style="170" bestFit="1" customWidth="1"/>
    <col min="1284" max="1284" width="13.5703125" style="170" customWidth="1"/>
    <col min="1285" max="1536" width="9.140625" style="170"/>
    <col min="1537" max="1537" width="52.140625" style="170" customWidth="1"/>
    <col min="1538" max="1538" width="19" style="170" customWidth="1"/>
    <col min="1539" max="1539" width="43.7109375" style="170" bestFit="1" customWidth="1"/>
    <col min="1540" max="1540" width="13.5703125" style="170" customWidth="1"/>
    <col min="1541" max="1792" width="9.140625" style="170"/>
    <col min="1793" max="1793" width="52.140625" style="170" customWidth="1"/>
    <col min="1794" max="1794" width="19" style="170" customWidth="1"/>
    <col min="1795" max="1795" width="43.7109375" style="170" bestFit="1" customWidth="1"/>
    <col min="1796" max="1796" width="13.5703125" style="170" customWidth="1"/>
    <col min="1797" max="2048" width="9.140625" style="170"/>
    <col min="2049" max="2049" width="52.140625" style="170" customWidth="1"/>
    <col min="2050" max="2050" width="19" style="170" customWidth="1"/>
    <col min="2051" max="2051" width="43.7109375" style="170" bestFit="1" customWidth="1"/>
    <col min="2052" max="2052" width="13.5703125" style="170" customWidth="1"/>
    <col min="2053" max="2304" width="9.140625" style="170"/>
    <col min="2305" max="2305" width="52.140625" style="170" customWidth="1"/>
    <col min="2306" max="2306" width="19" style="170" customWidth="1"/>
    <col min="2307" max="2307" width="43.7109375" style="170" bestFit="1" customWidth="1"/>
    <col min="2308" max="2308" width="13.5703125" style="170" customWidth="1"/>
    <col min="2309" max="2560" width="9.140625" style="170"/>
    <col min="2561" max="2561" width="52.140625" style="170" customWidth="1"/>
    <col min="2562" max="2562" width="19" style="170" customWidth="1"/>
    <col min="2563" max="2563" width="43.7109375" style="170" bestFit="1" customWidth="1"/>
    <col min="2564" max="2564" width="13.5703125" style="170" customWidth="1"/>
    <col min="2565" max="2816" width="9.140625" style="170"/>
    <col min="2817" max="2817" width="52.140625" style="170" customWidth="1"/>
    <col min="2818" max="2818" width="19" style="170" customWidth="1"/>
    <col min="2819" max="2819" width="43.7109375" style="170" bestFit="1" customWidth="1"/>
    <col min="2820" max="2820" width="13.5703125" style="170" customWidth="1"/>
    <col min="2821" max="3072" width="9.140625" style="170"/>
    <col min="3073" max="3073" width="52.140625" style="170" customWidth="1"/>
    <col min="3074" max="3074" width="19" style="170" customWidth="1"/>
    <col min="3075" max="3075" width="43.7109375" style="170" bestFit="1" customWidth="1"/>
    <col min="3076" max="3076" width="13.5703125" style="170" customWidth="1"/>
    <col min="3077" max="3328" width="9.140625" style="170"/>
    <col min="3329" max="3329" width="52.140625" style="170" customWidth="1"/>
    <col min="3330" max="3330" width="19" style="170" customWidth="1"/>
    <col min="3331" max="3331" width="43.7109375" style="170" bestFit="1" customWidth="1"/>
    <col min="3332" max="3332" width="13.5703125" style="170" customWidth="1"/>
    <col min="3333" max="3584" width="9.140625" style="170"/>
    <col min="3585" max="3585" width="52.140625" style="170" customWidth="1"/>
    <col min="3586" max="3586" width="19" style="170" customWidth="1"/>
    <col min="3587" max="3587" width="43.7109375" style="170" bestFit="1" customWidth="1"/>
    <col min="3588" max="3588" width="13.5703125" style="170" customWidth="1"/>
    <col min="3589" max="3840" width="9.140625" style="170"/>
    <col min="3841" max="3841" width="52.140625" style="170" customWidth="1"/>
    <col min="3842" max="3842" width="19" style="170" customWidth="1"/>
    <col min="3843" max="3843" width="43.7109375" style="170" bestFit="1" customWidth="1"/>
    <col min="3844" max="3844" width="13.5703125" style="170" customWidth="1"/>
    <col min="3845" max="4096" width="9.140625" style="170"/>
    <col min="4097" max="4097" width="52.140625" style="170" customWidth="1"/>
    <col min="4098" max="4098" width="19" style="170" customWidth="1"/>
    <col min="4099" max="4099" width="43.7109375" style="170" bestFit="1" customWidth="1"/>
    <col min="4100" max="4100" width="13.5703125" style="170" customWidth="1"/>
    <col min="4101" max="4352" width="9.140625" style="170"/>
    <col min="4353" max="4353" width="52.140625" style="170" customWidth="1"/>
    <col min="4354" max="4354" width="19" style="170" customWidth="1"/>
    <col min="4355" max="4355" width="43.7109375" style="170" bestFit="1" customWidth="1"/>
    <col min="4356" max="4356" width="13.5703125" style="170" customWidth="1"/>
    <col min="4357" max="4608" width="9.140625" style="170"/>
    <col min="4609" max="4609" width="52.140625" style="170" customWidth="1"/>
    <col min="4610" max="4610" width="19" style="170" customWidth="1"/>
    <col min="4611" max="4611" width="43.7109375" style="170" bestFit="1" customWidth="1"/>
    <col min="4612" max="4612" width="13.5703125" style="170" customWidth="1"/>
    <col min="4613" max="4864" width="9.140625" style="170"/>
    <col min="4865" max="4865" width="52.140625" style="170" customWidth="1"/>
    <col min="4866" max="4866" width="19" style="170" customWidth="1"/>
    <col min="4867" max="4867" width="43.7109375" style="170" bestFit="1" customWidth="1"/>
    <col min="4868" max="4868" width="13.5703125" style="170" customWidth="1"/>
    <col min="4869" max="5120" width="9.140625" style="170"/>
    <col min="5121" max="5121" width="52.140625" style="170" customWidth="1"/>
    <col min="5122" max="5122" width="19" style="170" customWidth="1"/>
    <col min="5123" max="5123" width="43.7109375" style="170" bestFit="1" customWidth="1"/>
    <col min="5124" max="5124" width="13.5703125" style="170" customWidth="1"/>
    <col min="5125" max="5376" width="9.140625" style="170"/>
    <col min="5377" max="5377" width="52.140625" style="170" customWidth="1"/>
    <col min="5378" max="5378" width="19" style="170" customWidth="1"/>
    <col min="5379" max="5379" width="43.7109375" style="170" bestFit="1" customWidth="1"/>
    <col min="5380" max="5380" width="13.5703125" style="170" customWidth="1"/>
    <col min="5381" max="5632" width="9.140625" style="170"/>
    <col min="5633" max="5633" width="52.140625" style="170" customWidth="1"/>
    <col min="5634" max="5634" width="19" style="170" customWidth="1"/>
    <col min="5635" max="5635" width="43.7109375" style="170" bestFit="1" customWidth="1"/>
    <col min="5636" max="5636" width="13.5703125" style="170" customWidth="1"/>
    <col min="5637" max="5888" width="9.140625" style="170"/>
    <col min="5889" max="5889" width="52.140625" style="170" customWidth="1"/>
    <col min="5890" max="5890" width="19" style="170" customWidth="1"/>
    <col min="5891" max="5891" width="43.7109375" style="170" bestFit="1" customWidth="1"/>
    <col min="5892" max="5892" width="13.5703125" style="170" customWidth="1"/>
    <col min="5893" max="6144" width="9.140625" style="170"/>
    <col min="6145" max="6145" width="52.140625" style="170" customWidth="1"/>
    <col min="6146" max="6146" width="19" style="170" customWidth="1"/>
    <col min="6147" max="6147" width="43.7109375" style="170" bestFit="1" customWidth="1"/>
    <col min="6148" max="6148" width="13.5703125" style="170" customWidth="1"/>
    <col min="6149" max="6400" width="9.140625" style="170"/>
    <col min="6401" max="6401" width="52.140625" style="170" customWidth="1"/>
    <col min="6402" max="6402" width="19" style="170" customWidth="1"/>
    <col min="6403" max="6403" width="43.7109375" style="170" bestFit="1" customWidth="1"/>
    <col min="6404" max="6404" width="13.5703125" style="170" customWidth="1"/>
    <col min="6405" max="6656" width="9.140625" style="170"/>
    <col min="6657" max="6657" width="52.140625" style="170" customWidth="1"/>
    <col min="6658" max="6658" width="19" style="170" customWidth="1"/>
    <col min="6659" max="6659" width="43.7109375" style="170" bestFit="1" customWidth="1"/>
    <col min="6660" max="6660" width="13.5703125" style="170" customWidth="1"/>
    <col min="6661" max="6912" width="9.140625" style="170"/>
    <col min="6913" max="6913" width="52.140625" style="170" customWidth="1"/>
    <col min="6914" max="6914" width="19" style="170" customWidth="1"/>
    <col min="6915" max="6915" width="43.7109375" style="170" bestFit="1" customWidth="1"/>
    <col min="6916" max="6916" width="13.5703125" style="170" customWidth="1"/>
    <col min="6917" max="7168" width="9.140625" style="170"/>
    <col min="7169" max="7169" width="52.140625" style="170" customWidth="1"/>
    <col min="7170" max="7170" width="19" style="170" customWidth="1"/>
    <col min="7171" max="7171" width="43.7109375" style="170" bestFit="1" customWidth="1"/>
    <col min="7172" max="7172" width="13.5703125" style="170" customWidth="1"/>
    <col min="7173" max="7424" width="9.140625" style="170"/>
    <col min="7425" max="7425" width="52.140625" style="170" customWidth="1"/>
    <col min="7426" max="7426" width="19" style="170" customWidth="1"/>
    <col min="7427" max="7427" width="43.7109375" style="170" bestFit="1" customWidth="1"/>
    <col min="7428" max="7428" width="13.5703125" style="170" customWidth="1"/>
    <col min="7429" max="7680" width="9.140625" style="170"/>
    <col min="7681" max="7681" width="52.140625" style="170" customWidth="1"/>
    <col min="7682" max="7682" width="19" style="170" customWidth="1"/>
    <col min="7683" max="7683" width="43.7109375" style="170" bestFit="1" customWidth="1"/>
    <col min="7684" max="7684" width="13.5703125" style="170" customWidth="1"/>
    <col min="7685" max="7936" width="9.140625" style="170"/>
    <col min="7937" max="7937" width="52.140625" style="170" customWidth="1"/>
    <col min="7938" max="7938" width="19" style="170" customWidth="1"/>
    <col min="7939" max="7939" width="43.7109375" style="170" bestFit="1" customWidth="1"/>
    <col min="7940" max="7940" width="13.5703125" style="170" customWidth="1"/>
    <col min="7941" max="8192" width="9.140625" style="170"/>
    <col min="8193" max="8193" width="52.140625" style="170" customWidth="1"/>
    <col min="8194" max="8194" width="19" style="170" customWidth="1"/>
    <col min="8195" max="8195" width="43.7109375" style="170" bestFit="1" customWidth="1"/>
    <col min="8196" max="8196" width="13.5703125" style="170" customWidth="1"/>
    <col min="8197" max="8448" width="9.140625" style="170"/>
    <col min="8449" max="8449" width="52.140625" style="170" customWidth="1"/>
    <col min="8450" max="8450" width="19" style="170" customWidth="1"/>
    <col min="8451" max="8451" width="43.7109375" style="170" bestFit="1" customWidth="1"/>
    <col min="8452" max="8452" width="13.5703125" style="170" customWidth="1"/>
    <col min="8453" max="8704" width="9.140625" style="170"/>
    <col min="8705" max="8705" width="52.140625" style="170" customWidth="1"/>
    <col min="8706" max="8706" width="19" style="170" customWidth="1"/>
    <col min="8707" max="8707" width="43.7109375" style="170" bestFit="1" customWidth="1"/>
    <col min="8708" max="8708" width="13.5703125" style="170" customWidth="1"/>
    <col min="8709" max="8960" width="9.140625" style="170"/>
    <col min="8961" max="8961" width="52.140625" style="170" customWidth="1"/>
    <col min="8962" max="8962" width="19" style="170" customWidth="1"/>
    <col min="8963" max="8963" width="43.7109375" style="170" bestFit="1" customWidth="1"/>
    <col min="8964" max="8964" width="13.5703125" style="170" customWidth="1"/>
    <col min="8965" max="9216" width="9.140625" style="170"/>
    <col min="9217" max="9217" width="52.140625" style="170" customWidth="1"/>
    <col min="9218" max="9218" width="19" style="170" customWidth="1"/>
    <col min="9219" max="9219" width="43.7109375" style="170" bestFit="1" customWidth="1"/>
    <col min="9220" max="9220" width="13.5703125" style="170" customWidth="1"/>
    <col min="9221" max="9472" width="9.140625" style="170"/>
    <col min="9473" max="9473" width="52.140625" style="170" customWidth="1"/>
    <col min="9474" max="9474" width="19" style="170" customWidth="1"/>
    <col min="9475" max="9475" width="43.7109375" style="170" bestFit="1" customWidth="1"/>
    <col min="9476" max="9476" width="13.5703125" style="170" customWidth="1"/>
    <col min="9477" max="9728" width="9.140625" style="170"/>
    <col min="9729" max="9729" width="52.140625" style="170" customWidth="1"/>
    <col min="9730" max="9730" width="19" style="170" customWidth="1"/>
    <col min="9731" max="9731" width="43.7109375" style="170" bestFit="1" customWidth="1"/>
    <col min="9732" max="9732" width="13.5703125" style="170" customWidth="1"/>
    <col min="9733" max="9984" width="9.140625" style="170"/>
    <col min="9985" max="9985" width="52.140625" style="170" customWidth="1"/>
    <col min="9986" max="9986" width="19" style="170" customWidth="1"/>
    <col min="9987" max="9987" width="43.7109375" style="170" bestFit="1" customWidth="1"/>
    <col min="9988" max="9988" width="13.5703125" style="170" customWidth="1"/>
    <col min="9989" max="10240" width="9.140625" style="170"/>
    <col min="10241" max="10241" width="52.140625" style="170" customWidth="1"/>
    <col min="10242" max="10242" width="19" style="170" customWidth="1"/>
    <col min="10243" max="10243" width="43.7109375" style="170" bestFit="1" customWidth="1"/>
    <col min="10244" max="10244" width="13.5703125" style="170" customWidth="1"/>
    <col min="10245" max="10496" width="9.140625" style="170"/>
    <col min="10497" max="10497" width="52.140625" style="170" customWidth="1"/>
    <col min="10498" max="10498" width="19" style="170" customWidth="1"/>
    <col min="10499" max="10499" width="43.7109375" style="170" bestFit="1" customWidth="1"/>
    <col min="10500" max="10500" width="13.5703125" style="170" customWidth="1"/>
    <col min="10501" max="10752" width="9.140625" style="170"/>
    <col min="10753" max="10753" width="52.140625" style="170" customWidth="1"/>
    <col min="10754" max="10754" width="19" style="170" customWidth="1"/>
    <col min="10755" max="10755" width="43.7109375" style="170" bestFit="1" customWidth="1"/>
    <col min="10756" max="10756" width="13.5703125" style="170" customWidth="1"/>
    <col min="10757" max="11008" width="9.140625" style="170"/>
    <col min="11009" max="11009" width="52.140625" style="170" customWidth="1"/>
    <col min="11010" max="11010" width="19" style="170" customWidth="1"/>
    <col min="11011" max="11011" width="43.7109375" style="170" bestFit="1" customWidth="1"/>
    <col min="11012" max="11012" width="13.5703125" style="170" customWidth="1"/>
    <col min="11013" max="11264" width="9.140625" style="170"/>
    <col min="11265" max="11265" width="52.140625" style="170" customWidth="1"/>
    <col min="11266" max="11266" width="19" style="170" customWidth="1"/>
    <col min="11267" max="11267" width="43.7109375" style="170" bestFit="1" customWidth="1"/>
    <col min="11268" max="11268" width="13.5703125" style="170" customWidth="1"/>
    <col min="11269" max="11520" width="9.140625" style="170"/>
    <col min="11521" max="11521" width="52.140625" style="170" customWidth="1"/>
    <col min="11522" max="11522" width="19" style="170" customWidth="1"/>
    <col min="11523" max="11523" width="43.7109375" style="170" bestFit="1" customWidth="1"/>
    <col min="11524" max="11524" width="13.5703125" style="170" customWidth="1"/>
    <col min="11525" max="11776" width="9.140625" style="170"/>
    <col min="11777" max="11777" width="52.140625" style="170" customWidth="1"/>
    <col min="11778" max="11778" width="19" style="170" customWidth="1"/>
    <col min="11779" max="11779" width="43.7109375" style="170" bestFit="1" customWidth="1"/>
    <col min="11780" max="11780" width="13.5703125" style="170" customWidth="1"/>
    <col min="11781" max="12032" width="9.140625" style="170"/>
    <col min="12033" max="12033" width="52.140625" style="170" customWidth="1"/>
    <col min="12034" max="12034" width="19" style="170" customWidth="1"/>
    <col min="12035" max="12035" width="43.7109375" style="170" bestFit="1" customWidth="1"/>
    <col min="12036" max="12036" width="13.5703125" style="170" customWidth="1"/>
    <col min="12037" max="12288" width="9.140625" style="170"/>
    <col min="12289" max="12289" width="52.140625" style="170" customWidth="1"/>
    <col min="12290" max="12290" width="19" style="170" customWidth="1"/>
    <col min="12291" max="12291" width="43.7109375" style="170" bestFit="1" customWidth="1"/>
    <col min="12292" max="12292" width="13.5703125" style="170" customWidth="1"/>
    <col min="12293" max="12544" width="9.140625" style="170"/>
    <col min="12545" max="12545" width="52.140625" style="170" customWidth="1"/>
    <col min="12546" max="12546" width="19" style="170" customWidth="1"/>
    <col min="12547" max="12547" width="43.7109375" style="170" bestFit="1" customWidth="1"/>
    <col min="12548" max="12548" width="13.5703125" style="170" customWidth="1"/>
    <col min="12549" max="12800" width="9.140625" style="170"/>
    <col min="12801" max="12801" width="52.140625" style="170" customWidth="1"/>
    <col min="12802" max="12802" width="19" style="170" customWidth="1"/>
    <col min="12803" max="12803" width="43.7109375" style="170" bestFit="1" customWidth="1"/>
    <col min="12804" max="12804" width="13.5703125" style="170" customWidth="1"/>
    <col min="12805" max="13056" width="9.140625" style="170"/>
    <col min="13057" max="13057" width="52.140625" style="170" customWidth="1"/>
    <col min="13058" max="13058" width="19" style="170" customWidth="1"/>
    <col min="13059" max="13059" width="43.7109375" style="170" bestFit="1" customWidth="1"/>
    <col min="13060" max="13060" width="13.5703125" style="170" customWidth="1"/>
    <col min="13061" max="13312" width="9.140625" style="170"/>
    <col min="13313" max="13313" width="52.140625" style="170" customWidth="1"/>
    <col min="13314" max="13314" width="19" style="170" customWidth="1"/>
    <col min="13315" max="13315" width="43.7109375" style="170" bestFit="1" customWidth="1"/>
    <col min="13316" max="13316" width="13.5703125" style="170" customWidth="1"/>
    <col min="13317" max="13568" width="9.140625" style="170"/>
    <col min="13569" max="13569" width="52.140625" style="170" customWidth="1"/>
    <col min="13570" max="13570" width="19" style="170" customWidth="1"/>
    <col min="13571" max="13571" width="43.7109375" style="170" bestFit="1" customWidth="1"/>
    <col min="13572" max="13572" width="13.5703125" style="170" customWidth="1"/>
    <col min="13573" max="13824" width="9.140625" style="170"/>
    <col min="13825" max="13825" width="52.140625" style="170" customWidth="1"/>
    <col min="13826" max="13826" width="19" style="170" customWidth="1"/>
    <col min="13827" max="13827" width="43.7109375" style="170" bestFit="1" customWidth="1"/>
    <col min="13828" max="13828" width="13.5703125" style="170" customWidth="1"/>
    <col min="13829" max="14080" width="9.140625" style="170"/>
    <col min="14081" max="14081" width="52.140625" style="170" customWidth="1"/>
    <col min="14082" max="14082" width="19" style="170" customWidth="1"/>
    <col min="14083" max="14083" width="43.7109375" style="170" bestFit="1" customWidth="1"/>
    <col min="14084" max="14084" width="13.5703125" style="170" customWidth="1"/>
    <col min="14085" max="14336" width="9.140625" style="170"/>
    <col min="14337" max="14337" width="52.140625" style="170" customWidth="1"/>
    <col min="14338" max="14338" width="19" style="170" customWidth="1"/>
    <col min="14339" max="14339" width="43.7109375" style="170" bestFit="1" customWidth="1"/>
    <col min="14340" max="14340" width="13.5703125" style="170" customWidth="1"/>
    <col min="14341" max="14592" width="9.140625" style="170"/>
    <col min="14593" max="14593" width="52.140625" style="170" customWidth="1"/>
    <col min="14594" max="14594" width="19" style="170" customWidth="1"/>
    <col min="14595" max="14595" width="43.7109375" style="170" bestFit="1" customWidth="1"/>
    <col min="14596" max="14596" width="13.5703125" style="170" customWidth="1"/>
    <col min="14597" max="14848" width="9.140625" style="170"/>
    <col min="14849" max="14849" width="52.140625" style="170" customWidth="1"/>
    <col min="14850" max="14850" width="19" style="170" customWidth="1"/>
    <col min="14851" max="14851" width="43.7109375" style="170" bestFit="1" customWidth="1"/>
    <col min="14852" max="14852" width="13.5703125" style="170" customWidth="1"/>
    <col min="14853" max="15104" width="9.140625" style="170"/>
    <col min="15105" max="15105" width="52.140625" style="170" customWidth="1"/>
    <col min="15106" max="15106" width="19" style="170" customWidth="1"/>
    <col min="15107" max="15107" width="43.7109375" style="170" bestFit="1" customWidth="1"/>
    <col min="15108" max="15108" width="13.5703125" style="170" customWidth="1"/>
    <col min="15109" max="15360" width="9.140625" style="170"/>
    <col min="15361" max="15361" width="52.140625" style="170" customWidth="1"/>
    <col min="15362" max="15362" width="19" style="170" customWidth="1"/>
    <col min="15363" max="15363" width="43.7109375" style="170" bestFit="1" customWidth="1"/>
    <col min="15364" max="15364" width="13.5703125" style="170" customWidth="1"/>
    <col min="15365" max="15616" width="9.140625" style="170"/>
    <col min="15617" max="15617" width="52.140625" style="170" customWidth="1"/>
    <col min="15618" max="15618" width="19" style="170" customWidth="1"/>
    <col min="15619" max="15619" width="43.7109375" style="170" bestFit="1" customWidth="1"/>
    <col min="15620" max="15620" width="13.5703125" style="170" customWidth="1"/>
    <col min="15621" max="15872" width="9.140625" style="170"/>
    <col min="15873" max="15873" width="52.140625" style="170" customWidth="1"/>
    <col min="15874" max="15874" width="19" style="170" customWidth="1"/>
    <col min="15875" max="15875" width="43.7109375" style="170" bestFit="1" customWidth="1"/>
    <col min="15876" max="15876" width="13.5703125" style="170" customWidth="1"/>
    <col min="15877" max="16128" width="9.140625" style="170"/>
    <col min="16129" max="16129" width="52.140625" style="170" customWidth="1"/>
    <col min="16130" max="16130" width="19" style="170" customWidth="1"/>
    <col min="16131" max="16131" width="43.7109375" style="170" bestFit="1" customWidth="1"/>
    <col min="16132" max="16132" width="13.5703125" style="170" customWidth="1"/>
    <col min="16133" max="16384" width="9.140625" style="170"/>
  </cols>
  <sheetData>
    <row r="4" spans="1:4" ht="15.75" x14ac:dyDescent="0.25">
      <c r="A4" s="168" t="s">
        <v>1</v>
      </c>
      <c r="B4" s="1044" t="str">
        <f>'Material Specifications'!B3:C3</f>
        <v>ULTRATECH TOOL&amp; DESIGN, INC.</v>
      </c>
      <c r="C4" s="1045"/>
      <c r="D4" s="169"/>
    </row>
    <row r="5" spans="1:4" ht="15.75" x14ac:dyDescent="0.25">
      <c r="A5" s="168" t="s">
        <v>2</v>
      </c>
      <c r="B5" s="1046">
        <f>'Material Specifications'!B4</f>
        <v>0</v>
      </c>
      <c r="C5" s="1045"/>
      <c r="D5" s="169"/>
    </row>
    <row r="6" spans="1:4" ht="15.75" x14ac:dyDescent="0.25">
      <c r="A6" s="168" t="s">
        <v>131</v>
      </c>
      <c r="B6" s="1044">
        <f>'Material Specifications'!B5:C5</f>
        <v>0</v>
      </c>
      <c r="C6" s="1045"/>
      <c r="D6" s="169"/>
    </row>
    <row r="7" spans="1:4" x14ac:dyDescent="0.2">
      <c r="C7" s="173"/>
      <c r="D7" s="174"/>
    </row>
    <row r="8" spans="1:4" x14ac:dyDescent="0.2">
      <c r="C8" s="173"/>
      <c r="D8" s="175"/>
    </row>
    <row r="9" spans="1:4" ht="15.75" x14ac:dyDescent="0.25">
      <c r="A9" s="176" t="s">
        <v>373</v>
      </c>
      <c r="B9" s="177"/>
      <c r="C9" s="173"/>
      <c r="D9" s="174"/>
    </row>
    <row r="10" spans="1:4" x14ac:dyDescent="0.2">
      <c r="A10" s="170"/>
      <c r="B10" s="177"/>
      <c r="C10" s="171" t="s">
        <v>374</v>
      </c>
      <c r="D10" s="178" t="s">
        <v>375</v>
      </c>
    </row>
    <row r="11" spans="1:4" ht="15.75" x14ac:dyDescent="0.25">
      <c r="A11" s="179" t="s">
        <v>376</v>
      </c>
      <c r="D11" s="180" t="s">
        <v>377</v>
      </c>
    </row>
    <row r="12" spans="1:4" x14ac:dyDescent="0.2">
      <c r="A12" s="181" t="s">
        <v>378</v>
      </c>
      <c r="B12" s="182">
        <v>0.15</v>
      </c>
    </row>
    <row r="13" spans="1:4" x14ac:dyDescent="0.2">
      <c r="A13" s="181" t="s">
        <v>379</v>
      </c>
      <c r="B13" s="183">
        <v>5</v>
      </c>
    </row>
    <row r="14" spans="1:4" x14ac:dyDescent="0.2">
      <c r="A14" s="181" t="s">
        <v>380</v>
      </c>
      <c r="B14" s="184">
        <f>'Material Specifications'!B16</f>
        <v>0</v>
      </c>
      <c r="C14" s="185" t="s">
        <v>381</v>
      </c>
      <c r="D14" s="186">
        <f>B14*0.75</f>
        <v>0</v>
      </c>
    </row>
    <row r="16" spans="1:4" ht="15.75" x14ac:dyDescent="0.25">
      <c r="A16" s="179" t="s">
        <v>382</v>
      </c>
      <c r="C16" s="187" t="s">
        <v>383</v>
      </c>
      <c r="D16" s="188"/>
    </row>
    <row r="17" spans="1:7" x14ac:dyDescent="0.2">
      <c r="A17" s="181" t="s">
        <v>384</v>
      </c>
      <c r="B17" s="183">
        <v>0.5</v>
      </c>
      <c r="C17" s="189" t="s">
        <v>385</v>
      </c>
      <c r="D17" s="188">
        <f>ATAN(B17/12)/PI()*180</f>
        <v>2.3859440303888126</v>
      </c>
    </row>
    <row r="18" spans="1:7" x14ac:dyDescent="0.2">
      <c r="A18" s="181" t="s">
        <v>386</v>
      </c>
      <c r="B18" s="183">
        <v>0.06</v>
      </c>
      <c r="C18" s="189" t="s">
        <v>387</v>
      </c>
      <c r="D18" s="188">
        <f>B12/TAN(RADIANS(D17))</f>
        <v>3.6</v>
      </c>
    </row>
    <row r="19" spans="1:7" x14ac:dyDescent="0.2">
      <c r="A19" s="181" t="s">
        <v>388</v>
      </c>
      <c r="B19" s="183">
        <v>0.75</v>
      </c>
      <c r="C19" s="189" t="s">
        <v>389</v>
      </c>
      <c r="D19" s="188">
        <f>(B12*D18)/2</f>
        <v>0.27</v>
      </c>
    </row>
    <row r="20" spans="1:7" x14ac:dyDescent="0.2">
      <c r="A20" s="181" t="s">
        <v>390</v>
      </c>
      <c r="B20" s="183">
        <v>0.38</v>
      </c>
      <c r="C20" s="190"/>
      <c r="D20" s="188"/>
    </row>
    <row r="21" spans="1:7" x14ac:dyDescent="0.2">
      <c r="A21" s="181"/>
      <c r="B21" s="191"/>
      <c r="C21" s="190"/>
      <c r="D21" s="188"/>
    </row>
    <row r="22" spans="1:7" ht="15.75" x14ac:dyDescent="0.25">
      <c r="A22" s="179" t="s">
        <v>391</v>
      </c>
      <c r="C22" s="189"/>
      <c r="D22" s="188"/>
    </row>
    <row r="23" spans="1:7" x14ac:dyDescent="0.2">
      <c r="A23" s="181" t="s">
        <v>392</v>
      </c>
      <c r="B23" s="183">
        <v>9</v>
      </c>
      <c r="C23" s="189" t="s">
        <v>393</v>
      </c>
      <c r="D23" s="188">
        <f>B13*(RADIANS(D17))+B12+B18</f>
        <v>0.4182128954929421</v>
      </c>
      <c r="E23" s="181"/>
      <c r="F23" s="181"/>
      <c r="G23" s="181"/>
    </row>
    <row r="24" spans="1:7" x14ac:dyDescent="0.2">
      <c r="A24" s="181" t="s">
        <v>394</v>
      </c>
      <c r="B24" s="183">
        <v>6</v>
      </c>
      <c r="C24" s="189" t="s">
        <v>395</v>
      </c>
      <c r="D24" s="188">
        <f>D23+B19</f>
        <v>1.168212895492942</v>
      </c>
      <c r="E24" s="181"/>
      <c r="F24" s="181"/>
      <c r="G24" s="181"/>
    </row>
    <row r="25" spans="1:7" x14ac:dyDescent="0.2">
      <c r="A25" s="181" t="s">
        <v>396</v>
      </c>
      <c r="B25" s="183">
        <v>2</v>
      </c>
      <c r="C25" s="189" t="s">
        <v>397</v>
      </c>
      <c r="D25" s="188">
        <f>B25-D23</f>
        <v>1.581787104507058</v>
      </c>
      <c r="E25" s="181"/>
      <c r="F25" s="181"/>
      <c r="G25" s="181"/>
    </row>
    <row r="26" spans="1:7" ht="15.75" x14ac:dyDescent="0.25">
      <c r="E26" s="181"/>
      <c r="F26" s="192"/>
      <c r="G26" s="192"/>
    </row>
    <row r="27" spans="1:7" ht="15.75" x14ac:dyDescent="0.25">
      <c r="A27" s="179" t="s">
        <v>398</v>
      </c>
      <c r="E27" s="192"/>
      <c r="F27" s="192"/>
      <c r="G27" s="192"/>
    </row>
    <row r="28" spans="1:7" ht="15.75" x14ac:dyDescent="0.25">
      <c r="A28" s="181" t="s">
        <v>399</v>
      </c>
      <c r="B28" s="183">
        <v>80</v>
      </c>
      <c r="C28" s="189" t="s">
        <v>400</v>
      </c>
      <c r="D28" s="188">
        <f>(((B23/2)^2)*PI()-((B24/2)^2)*PI())</f>
        <v>35.342917352885166</v>
      </c>
      <c r="E28" s="192"/>
      <c r="F28" s="192"/>
      <c r="G28" s="192"/>
    </row>
    <row r="29" spans="1:7" ht="15.75" x14ac:dyDescent="0.25">
      <c r="C29" s="189" t="s">
        <v>401</v>
      </c>
      <c r="D29" s="188">
        <f>D28*B25</f>
        <v>70.685834705770333</v>
      </c>
      <c r="E29" s="192"/>
      <c r="F29" s="192"/>
      <c r="G29" s="192"/>
    </row>
    <row r="30" spans="1:7" s="193" customFormat="1" ht="15.75" x14ac:dyDescent="0.25">
      <c r="B30" s="194"/>
      <c r="C30" s="189" t="s">
        <v>402</v>
      </c>
      <c r="D30" s="188">
        <f>B44/(3.117*D28)</f>
        <v>0.33332083380206579</v>
      </c>
      <c r="E30" s="192"/>
      <c r="F30" s="192"/>
      <c r="G30" s="192"/>
    </row>
    <row r="31" spans="1:7" ht="15.75" x14ac:dyDescent="0.25">
      <c r="A31" s="179" t="s">
        <v>403</v>
      </c>
    </row>
    <row r="32" spans="1:7" x14ac:dyDescent="0.2">
      <c r="A32" s="181" t="s">
        <v>404</v>
      </c>
      <c r="B32" s="183">
        <v>0.5</v>
      </c>
    </row>
    <row r="33" spans="1:5" x14ac:dyDescent="0.2">
      <c r="A33" s="181" t="s">
        <v>405</v>
      </c>
      <c r="B33" s="183">
        <v>1</v>
      </c>
    </row>
    <row r="36" spans="1:5" ht="15.75" x14ac:dyDescent="0.25">
      <c r="E36" s="192"/>
    </row>
    <row r="37" spans="1:5" ht="15.75" x14ac:dyDescent="0.25">
      <c r="A37" s="195" t="s">
        <v>406</v>
      </c>
      <c r="E37" s="192"/>
    </row>
    <row r="38" spans="1:5" ht="15.75" x14ac:dyDescent="0.25">
      <c r="E38" s="192"/>
    </row>
    <row r="39" spans="1:5" ht="15.75" x14ac:dyDescent="0.25">
      <c r="A39" s="192" t="s">
        <v>407</v>
      </c>
      <c r="B39" s="196">
        <f>(((B23/2)^2)*PI()-((B24/2)^2)*PI())*B28/2</f>
        <v>1413.7166941154067</v>
      </c>
      <c r="E39" s="192"/>
    </row>
    <row r="40" spans="1:5" ht="15.75" x14ac:dyDescent="0.25">
      <c r="A40" s="192" t="s">
        <v>408</v>
      </c>
      <c r="B40" s="196">
        <f>B39*2</f>
        <v>2827.4333882308133</v>
      </c>
      <c r="E40" s="192"/>
    </row>
    <row r="41" spans="1:5" ht="15.75" x14ac:dyDescent="0.25">
      <c r="A41" s="192" t="s">
        <v>409</v>
      </c>
      <c r="B41" s="196">
        <f>D19*D14*(1-B20)</f>
        <v>0</v>
      </c>
      <c r="C41" s="170" t="str">
        <f>IF(B40&gt;(B41*1.15),"OK","not OK")</f>
        <v>OK</v>
      </c>
    </row>
    <row r="42" spans="1:5" ht="15.75" x14ac:dyDescent="0.25">
      <c r="A42" s="192" t="s">
        <v>410</v>
      </c>
      <c r="B42" s="192">
        <f>B40*0.0005</f>
        <v>1.4137166941154067</v>
      </c>
    </row>
    <row r="43" spans="1:5" ht="15.75" x14ac:dyDescent="0.25">
      <c r="A43" s="192" t="s">
        <v>411</v>
      </c>
      <c r="B43" s="196" t="e">
        <f>B40/B41</f>
        <v>#DIV/0!</v>
      </c>
    </row>
    <row r="44" spans="1:5" ht="15.75" x14ac:dyDescent="0.25">
      <c r="A44" s="192" t="s">
        <v>412</v>
      </c>
      <c r="B44" s="196">
        <f>((D29/231)*60)/B32</f>
        <v>36.719914132867707</v>
      </c>
    </row>
    <row r="45" spans="1:5" ht="15.75" x14ac:dyDescent="0.25">
      <c r="A45" s="192" t="s">
        <v>413</v>
      </c>
      <c r="B45" s="196">
        <f>B44*B47/B46</f>
        <v>18.359957066433854</v>
      </c>
    </row>
    <row r="46" spans="1:5" ht="15.75" x14ac:dyDescent="0.25">
      <c r="A46" s="192" t="s">
        <v>414</v>
      </c>
      <c r="B46" s="197">
        <f>(1/(B32*2))*60</f>
        <v>60</v>
      </c>
    </row>
    <row r="47" spans="1:5" ht="15.75" x14ac:dyDescent="0.25">
      <c r="A47" s="192" t="s">
        <v>415</v>
      </c>
      <c r="B47" s="197">
        <f>1/(B32*2+B33)*60</f>
        <v>30</v>
      </c>
    </row>
    <row r="48" spans="1:5" ht="15.75" x14ac:dyDescent="0.25">
      <c r="A48" s="192" t="s">
        <v>416</v>
      </c>
      <c r="B48" s="198">
        <f>B47*60</f>
        <v>1800</v>
      </c>
    </row>
  </sheetData>
  <mergeCells count="3">
    <mergeCell ref="B4:C4"/>
    <mergeCell ref="B5:C5"/>
    <mergeCell ref="B6:C6"/>
  </mergeCells>
  <conditionalFormatting sqref="B43">
    <cfRule type="cellIs" dxfId="22" priority="1" stopIfTrue="1" operator="lessThan">
      <formula>1</formula>
    </cfRule>
  </conditionalFormatting>
  <conditionalFormatting sqref="B40">
    <cfRule type="cellIs" dxfId="21" priority="2" stopIfTrue="1" operator="lessThan">
      <formula>$B$41</formula>
    </cfRule>
  </conditionalFormatting>
  <conditionalFormatting sqref="E26 F25:G25">
    <cfRule type="cellIs" dxfId="20" priority="3" stopIfTrue="1" operator="lessThan">
      <formula>$D$24</formula>
    </cfRule>
  </conditionalFormatting>
  <pageMargins left="0.44" right="0.28999999999999998" top="0.9" bottom="1" header="0.44" footer="0.5"/>
  <pageSetup scale="76" orientation="portrait" r:id="rId1"/>
  <headerFooter alignWithMargins="0">
    <oddHeader>&amp;C&amp;"Arial,Bold"&amp;16Straight Cut Shear Calculation&amp;14
&amp;11(single rake blade)</oddHeader>
    <oddFooter>&amp;C&amp;8&amp;F  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Tbl_Contents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2047875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A9E84-DA05-4479-8462-9A139AE016B4}">
  <sheetPr codeName="Sheet21">
    <tabColor theme="1"/>
    <pageSetUpPr fitToPage="1"/>
  </sheetPr>
  <dimension ref="A1:G46"/>
  <sheetViews>
    <sheetView zoomScale="75" zoomScaleNormal="75" zoomScaleSheetLayoutView="70" workbookViewId="0">
      <selection activeCell="B2" sqref="B2:C2"/>
    </sheetView>
  </sheetViews>
  <sheetFormatPr defaultRowHeight="15" x14ac:dyDescent="0.2"/>
  <cols>
    <col min="1" max="1" width="52.140625" style="171" customWidth="1"/>
    <col min="2" max="2" width="19" style="172" customWidth="1"/>
    <col min="3" max="3" width="43.7109375" style="170" bestFit="1" customWidth="1"/>
    <col min="4" max="4" width="13.5703125" style="178" customWidth="1"/>
    <col min="5" max="256" width="9.140625" style="170"/>
    <col min="257" max="257" width="52.140625" style="170" customWidth="1"/>
    <col min="258" max="258" width="19" style="170" customWidth="1"/>
    <col min="259" max="259" width="43.7109375" style="170" bestFit="1" customWidth="1"/>
    <col min="260" max="260" width="13.5703125" style="170" customWidth="1"/>
    <col min="261" max="512" width="9.140625" style="170"/>
    <col min="513" max="513" width="52.140625" style="170" customWidth="1"/>
    <col min="514" max="514" width="19" style="170" customWidth="1"/>
    <col min="515" max="515" width="43.7109375" style="170" bestFit="1" customWidth="1"/>
    <col min="516" max="516" width="13.5703125" style="170" customWidth="1"/>
    <col min="517" max="768" width="9.140625" style="170"/>
    <col min="769" max="769" width="52.140625" style="170" customWidth="1"/>
    <col min="770" max="770" width="19" style="170" customWidth="1"/>
    <col min="771" max="771" width="43.7109375" style="170" bestFit="1" customWidth="1"/>
    <col min="772" max="772" width="13.5703125" style="170" customWidth="1"/>
    <col min="773" max="1024" width="9.140625" style="170"/>
    <col min="1025" max="1025" width="52.140625" style="170" customWidth="1"/>
    <col min="1026" max="1026" width="19" style="170" customWidth="1"/>
    <col min="1027" max="1027" width="43.7109375" style="170" bestFit="1" customWidth="1"/>
    <col min="1028" max="1028" width="13.5703125" style="170" customWidth="1"/>
    <col min="1029" max="1280" width="9.140625" style="170"/>
    <col min="1281" max="1281" width="52.140625" style="170" customWidth="1"/>
    <col min="1282" max="1282" width="19" style="170" customWidth="1"/>
    <col min="1283" max="1283" width="43.7109375" style="170" bestFit="1" customWidth="1"/>
    <col min="1284" max="1284" width="13.5703125" style="170" customWidth="1"/>
    <col min="1285" max="1536" width="9.140625" style="170"/>
    <col min="1537" max="1537" width="52.140625" style="170" customWidth="1"/>
    <col min="1538" max="1538" width="19" style="170" customWidth="1"/>
    <col min="1539" max="1539" width="43.7109375" style="170" bestFit="1" customWidth="1"/>
    <col min="1540" max="1540" width="13.5703125" style="170" customWidth="1"/>
    <col min="1541" max="1792" width="9.140625" style="170"/>
    <col min="1793" max="1793" width="52.140625" style="170" customWidth="1"/>
    <col min="1794" max="1794" width="19" style="170" customWidth="1"/>
    <col min="1795" max="1795" width="43.7109375" style="170" bestFit="1" customWidth="1"/>
    <col min="1796" max="1796" width="13.5703125" style="170" customWidth="1"/>
    <col min="1797" max="2048" width="9.140625" style="170"/>
    <col min="2049" max="2049" width="52.140625" style="170" customWidth="1"/>
    <col min="2050" max="2050" width="19" style="170" customWidth="1"/>
    <col min="2051" max="2051" width="43.7109375" style="170" bestFit="1" customWidth="1"/>
    <col min="2052" max="2052" width="13.5703125" style="170" customWidth="1"/>
    <col min="2053" max="2304" width="9.140625" style="170"/>
    <col min="2305" max="2305" width="52.140625" style="170" customWidth="1"/>
    <col min="2306" max="2306" width="19" style="170" customWidth="1"/>
    <col min="2307" max="2307" width="43.7109375" style="170" bestFit="1" customWidth="1"/>
    <col min="2308" max="2308" width="13.5703125" style="170" customWidth="1"/>
    <col min="2309" max="2560" width="9.140625" style="170"/>
    <col min="2561" max="2561" width="52.140625" style="170" customWidth="1"/>
    <col min="2562" max="2562" width="19" style="170" customWidth="1"/>
    <col min="2563" max="2563" width="43.7109375" style="170" bestFit="1" customWidth="1"/>
    <col min="2564" max="2564" width="13.5703125" style="170" customWidth="1"/>
    <col min="2565" max="2816" width="9.140625" style="170"/>
    <col min="2817" max="2817" width="52.140625" style="170" customWidth="1"/>
    <col min="2818" max="2818" width="19" style="170" customWidth="1"/>
    <col min="2819" max="2819" width="43.7109375" style="170" bestFit="1" customWidth="1"/>
    <col min="2820" max="2820" width="13.5703125" style="170" customWidth="1"/>
    <col min="2821" max="3072" width="9.140625" style="170"/>
    <col min="3073" max="3073" width="52.140625" style="170" customWidth="1"/>
    <col min="3074" max="3074" width="19" style="170" customWidth="1"/>
    <col min="3075" max="3075" width="43.7109375" style="170" bestFit="1" customWidth="1"/>
    <col min="3076" max="3076" width="13.5703125" style="170" customWidth="1"/>
    <col min="3077" max="3328" width="9.140625" style="170"/>
    <col min="3329" max="3329" width="52.140625" style="170" customWidth="1"/>
    <col min="3330" max="3330" width="19" style="170" customWidth="1"/>
    <col min="3331" max="3331" width="43.7109375" style="170" bestFit="1" customWidth="1"/>
    <col min="3332" max="3332" width="13.5703125" style="170" customWidth="1"/>
    <col min="3333" max="3584" width="9.140625" style="170"/>
    <col min="3585" max="3585" width="52.140625" style="170" customWidth="1"/>
    <col min="3586" max="3586" width="19" style="170" customWidth="1"/>
    <col min="3587" max="3587" width="43.7109375" style="170" bestFit="1" customWidth="1"/>
    <col min="3588" max="3588" width="13.5703125" style="170" customWidth="1"/>
    <col min="3589" max="3840" width="9.140625" style="170"/>
    <col min="3841" max="3841" width="52.140625" style="170" customWidth="1"/>
    <col min="3842" max="3842" width="19" style="170" customWidth="1"/>
    <col min="3843" max="3843" width="43.7109375" style="170" bestFit="1" customWidth="1"/>
    <col min="3844" max="3844" width="13.5703125" style="170" customWidth="1"/>
    <col min="3845" max="4096" width="9.140625" style="170"/>
    <col min="4097" max="4097" width="52.140625" style="170" customWidth="1"/>
    <col min="4098" max="4098" width="19" style="170" customWidth="1"/>
    <col min="4099" max="4099" width="43.7109375" style="170" bestFit="1" customWidth="1"/>
    <col min="4100" max="4100" width="13.5703125" style="170" customWidth="1"/>
    <col min="4101" max="4352" width="9.140625" style="170"/>
    <col min="4353" max="4353" width="52.140625" style="170" customWidth="1"/>
    <col min="4354" max="4354" width="19" style="170" customWidth="1"/>
    <col min="4355" max="4355" width="43.7109375" style="170" bestFit="1" customWidth="1"/>
    <col min="4356" max="4356" width="13.5703125" style="170" customWidth="1"/>
    <col min="4357" max="4608" width="9.140625" style="170"/>
    <col min="4609" max="4609" width="52.140625" style="170" customWidth="1"/>
    <col min="4610" max="4610" width="19" style="170" customWidth="1"/>
    <col min="4611" max="4611" width="43.7109375" style="170" bestFit="1" customWidth="1"/>
    <col min="4612" max="4612" width="13.5703125" style="170" customWidth="1"/>
    <col min="4613" max="4864" width="9.140625" style="170"/>
    <col min="4865" max="4865" width="52.140625" style="170" customWidth="1"/>
    <col min="4866" max="4866" width="19" style="170" customWidth="1"/>
    <col min="4867" max="4867" width="43.7109375" style="170" bestFit="1" customWidth="1"/>
    <col min="4868" max="4868" width="13.5703125" style="170" customWidth="1"/>
    <col min="4869" max="5120" width="9.140625" style="170"/>
    <col min="5121" max="5121" width="52.140625" style="170" customWidth="1"/>
    <col min="5122" max="5122" width="19" style="170" customWidth="1"/>
    <col min="5123" max="5123" width="43.7109375" style="170" bestFit="1" customWidth="1"/>
    <col min="5124" max="5124" width="13.5703125" style="170" customWidth="1"/>
    <col min="5125" max="5376" width="9.140625" style="170"/>
    <col min="5377" max="5377" width="52.140625" style="170" customWidth="1"/>
    <col min="5378" max="5378" width="19" style="170" customWidth="1"/>
    <col min="5379" max="5379" width="43.7109375" style="170" bestFit="1" customWidth="1"/>
    <col min="5380" max="5380" width="13.5703125" style="170" customWidth="1"/>
    <col min="5381" max="5632" width="9.140625" style="170"/>
    <col min="5633" max="5633" width="52.140625" style="170" customWidth="1"/>
    <col min="5634" max="5634" width="19" style="170" customWidth="1"/>
    <col min="5635" max="5635" width="43.7109375" style="170" bestFit="1" customWidth="1"/>
    <col min="5636" max="5636" width="13.5703125" style="170" customWidth="1"/>
    <col min="5637" max="5888" width="9.140625" style="170"/>
    <col min="5889" max="5889" width="52.140625" style="170" customWidth="1"/>
    <col min="5890" max="5890" width="19" style="170" customWidth="1"/>
    <col min="5891" max="5891" width="43.7109375" style="170" bestFit="1" customWidth="1"/>
    <col min="5892" max="5892" width="13.5703125" style="170" customWidth="1"/>
    <col min="5893" max="6144" width="9.140625" style="170"/>
    <col min="6145" max="6145" width="52.140625" style="170" customWidth="1"/>
    <col min="6146" max="6146" width="19" style="170" customWidth="1"/>
    <col min="6147" max="6147" width="43.7109375" style="170" bestFit="1" customWidth="1"/>
    <col min="6148" max="6148" width="13.5703125" style="170" customWidth="1"/>
    <col min="6149" max="6400" width="9.140625" style="170"/>
    <col min="6401" max="6401" width="52.140625" style="170" customWidth="1"/>
    <col min="6402" max="6402" width="19" style="170" customWidth="1"/>
    <col min="6403" max="6403" width="43.7109375" style="170" bestFit="1" customWidth="1"/>
    <col min="6404" max="6404" width="13.5703125" style="170" customWidth="1"/>
    <col min="6405" max="6656" width="9.140625" style="170"/>
    <col min="6657" max="6657" width="52.140625" style="170" customWidth="1"/>
    <col min="6658" max="6658" width="19" style="170" customWidth="1"/>
    <col min="6659" max="6659" width="43.7109375" style="170" bestFit="1" customWidth="1"/>
    <col min="6660" max="6660" width="13.5703125" style="170" customWidth="1"/>
    <col min="6661" max="6912" width="9.140625" style="170"/>
    <col min="6913" max="6913" width="52.140625" style="170" customWidth="1"/>
    <col min="6914" max="6914" width="19" style="170" customWidth="1"/>
    <col min="6915" max="6915" width="43.7109375" style="170" bestFit="1" customWidth="1"/>
    <col min="6916" max="6916" width="13.5703125" style="170" customWidth="1"/>
    <col min="6917" max="7168" width="9.140625" style="170"/>
    <col min="7169" max="7169" width="52.140625" style="170" customWidth="1"/>
    <col min="7170" max="7170" width="19" style="170" customWidth="1"/>
    <col min="7171" max="7171" width="43.7109375" style="170" bestFit="1" customWidth="1"/>
    <col min="7172" max="7172" width="13.5703125" style="170" customWidth="1"/>
    <col min="7173" max="7424" width="9.140625" style="170"/>
    <col min="7425" max="7425" width="52.140625" style="170" customWidth="1"/>
    <col min="7426" max="7426" width="19" style="170" customWidth="1"/>
    <col min="7427" max="7427" width="43.7109375" style="170" bestFit="1" customWidth="1"/>
    <col min="7428" max="7428" width="13.5703125" style="170" customWidth="1"/>
    <col min="7429" max="7680" width="9.140625" style="170"/>
    <col min="7681" max="7681" width="52.140625" style="170" customWidth="1"/>
    <col min="7682" max="7682" width="19" style="170" customWidth="1"/>
    <col min="7683" max="7683" width="43.7109375" style="170" bestFit="1" customWidth="1"/>
    <col min="7684" max="7684" width="13.5703125" style="170" customWidth="1"/>
    <col min="7685" max="7936" width="9.140625" style="170"/>
    <col min="7937" max="7937" width="52.140625" style="170" customWidth="1"/>
    <col min="7938" max="7938" width="19" style="170" customWidth="1"/>
    <col min="7939" max="7939" width="43.7109375" style="170" bestFit="1" customWidth="1"/>
    <col min="7940" max="7940" width="13.5703125" style="170" customWidth="1"/>
    <col min="7941" max="8192" width="9.140625" style="170"/>
    <col min="8193" max="8193" width="52.140625" style="170" customWidth="1"/>
    <col min="8194" max="8194" width="19" style="170" customWidth="1"/>
    <col min="8195" max="8195" width="43.7109375" style="170" bestFit="1" customWidth="1"/>
    <col min="8196" max="8196" width="13.5703125" style="170" customWidth="1"/>
    <col min="8197" max="8448" width="9.140625" style="170"/>
    <col min="8449" max="8449" width="52.140625" style="170" customWidth="1"/>
    <col min="8450" max="8450" width="19" style="170" customWidth="1"/>
    <col min="8451" max="8451" width="43.7109375" style="170" bestFit="1" customWidth="1"/>
    <col min="8452" max="8452" width="13.5703125" style="170" customWidth="1"/>
    <col min="8453" max="8704" width="9.140625" style="170"/>
    <col min="8705" max="8705" width="52.140625" style="170" customWidth="1"/>
    <col min="8706" max="8706" width="19" style="170" customWidth="1"/>
    <col min="8707" max="8707" width="43.7109375" style="170" bestFit="1" customWidth="1"/>
    <col min="8708" max="8708" width="13.5703125" style="170" customWidth="1"/>
    <col min="8709" max="8960" width="9.140625" style="170"/>
    <col min="8961" max="8961" width="52.140625" style="170" customWidth="1"/>
    <col min="8962" max="8962" width="19" style="170" customWidth="1"/>
    <col min="8963" max="8963" width="43.7109375" style="170" bestFit="1" customWidth="1"/>
    <col min="8964" max="8964" width="13.5703125" style="170" customWidth="1"/>
    <col min="8965" max="9216" width="9.140625" style="170"/>
    <col min="9217" max="9217" width="52.140625" style="170" customWidth="1"/>
    <col min="9218" max="9218" width="19" style="170" customWidth="1"/>
    <col min="9219" max="9219" width="43.7109375" style="170" bestFit="1" customWidth="1"/>
    <col min="9220" max="9220" width="13.5703125" style="170" customWidth="1"/>
    <col min="9221" max="9472" width="9.140625" style="170"/>
    <col min="9473" max="9473" width="52.140625" style="170" customWidth="1"/>
    <col min="9474" max="9474" width="19" style="170" customWidth="1"/>
    <col min="9475" max="9475" width="43.7109375" style="170" bestFit="1" customWidth="1"/>
    <col min="9476" max="9476" width="13.5703125" style="170" customWidth="1"/>
    <col min="9477" max="9728" width="9.140625" style="170"/>
    <col min="9729" max="9729" width="52.140625" style="170" customWidth="1"/>
    <col min="9730" max="9730" width="19" style="170" customWidth="1"/>
    <col min="9731" max="9731" width="43.7109375" style="170" bestFit="1" customWidth="1"/>
    <col min="9732" max="9732" width="13.5703125" style="170" customWidth="1"/>
    <col min="9733" max="9984" width="9.140625" style="170"/>
    <col min="9985" max="9985" width="52.140625" style="170" customWidth="1"/>
    <col min="9986" max="9986" width="19" style="170" customWidth="1"/>
    <col min="9987" max="9987" width="43.7109375" style="170" bestFit="1" customWidth="1"/>
    <col min="9988" max="9988" width="13.5703125" style="170" customWidth="1"/>
    <col min="9989" max="10240" width="9.140625" style="170"/>
    <col min="10241" max="10241" width="52.140625" style="170" customWidth="1"/>
    <col min="10242" max="10242" width="19" style="170" customWidth="1"/>
    <col min="10243" max="10243" width="43.7109375" style="170" bestFit="1" customWidth="1"/>
    <col min="10244" max="10244" width="13.5703125" style="170" customWidth="1"/>
    <col min="10245" max="10496" width="9.140625" style="170"/>
    <col min="10497" max="10497" width="52.140625" style="170" customWidth="1"/>
    <col min="10498" max="10498" width="19" style="170" customWidth="1"/>
    <col min="10499" max="10499" width="43.7109375" style="170" bestFit="1" customWidth="1"/>
    <col min="10500" max="10500" width="13.5703125" style="170" customWidth="1"/>
    <col min="10501" max="10752" width="9.140625" style="170"/>
    <col min="10753" max="10753" width="52.140625" style="170" customWidth="1"/>
    <col min="10754" max="10754" width="19" style="170" customWidth="1"/>
    <col min="10755" max="10755" width="43.7109375" style="170" bestFit="1" customWidth="1"/>
    <col min="10756" max="10756" width="13.5703125" style="170" customWidth="1"/>
    <col min="10757" max="11008" width="9.140625" style="170"/>
    <col min="11009" max="11009" width="52.140625" style="170" customWidth="1"/>
    <col min="11010" max="11010" width="19" style="170" customWidth="1"/>
    <col min="11011" max="11011" width="43.7109375" style="170" bestFit="1" customWidth="1"/>
    <col min="11012" max="11012" width="13.5703125" style="170" customWidth="1"/>
    <col min="11013" max="11264" width="9.140625" style="170"/>
    <col min="11265" max="11265" width="52.140625" style="170" customWidth="1"/>
    <col min="11266" max="11266" width="19" style="170" customWidth="1"/>
    <col min="11267" max="11267" width="43.7109375" style="170" bestFit="1" customWidth="1"/>
    <col min="11268" max="11268" width="13.5703125" style="170" customWidth="1"/>
    <col min="11269" max="11520" width="9.140625" style="170"/>
    <col min="11521" max="11521" width="52.140625" style="170" customWidth="1"/>
    <col min="11522" max="11522" width="19" style="170" customWidth="1"/>
    <col min="11523" max="11523" width="43.7109375" style="170" bestFit="1" customWidth="1"/>
    <col min="11524" max="11524" width="13.5703125" style="170" customWidth="1"/>
    <col min="11525" max="11776" width="9.140625" style="170"/>
    <col min="11777" max="11777" width="52.140625" style="170" customWidth="1"/>
    <col min="11778" max="11778" width="19" style="170" customWidth="1"/>
    <col min="11779" max="11779" width="43.7109375" style="170" bestFit="1" customWidth="1"/>
    <col min="11780" max="11780" width="13.5703125" style="170" customWidth="1"/>
    <col min="11781" max="12032" width="9.140625" style="170"/>
    <col min="12033" max="12033" width="52.140625" style="170" customWidth="1"/>
    <col min="12034" max="12034" width="19" style="170" customWidth="1"/>
    <col min="12035" max="12035" width="43.7109375" style="170" bestFit="1" customWidth="1"/>
    <col min="12036" max="12036" width="13.5703125" style="170" customWidth="1"/>
    <col min="12037" max="12288" width="9.140625" style="170"/>
    <col min="12289" max="12289" width="52.140625" style="170" customWidth="1"/>
    <col min="12290" max="12290" width="19" style="170" customWidth="1"/>
    <col min="12291" max="12291" width="43.7109375" style="170" bestFit="1" customWidth="1"/>
    <col min="12292" max="12292" width="13.5703125" style="170" customWidth="1"/>
    <col min="12293" max="12544" width="9.140625" style="170"/>
    <col min="12545" max="12545" width="52.140625" style="170" customWidth="1"/>
    <col min="12546" max="12546" width="19" style="170" customWidth="1"/>
    <col min="12547" max="12547" width="43.7109375" style="170" bestFit="1" customWidth="1"/>
    <col min="12548" max="12548" width="13.5703125" style="170" customWidth="1"/>
    <col min="12549" max="12800" width="9.140625" style="170"/>
    <col min="12801" max="12801" width="52.140625" style="170" customWidth="1"/>
    <col min="12802" max="12802" width="19" style="170" customWidth="1"/>
    <col min="12803" max="12803" width="43.7109375" style="170" bestFit="1" customWidth="1"/>
    <col min="12804" max="12804" width="13.5703125" style="170" customWidth="1"/>
    <col min="12805" max="13056" width="9.140625" style="170"/>
    <col min="13057" max="13057" width="52.140625" style="170" customWidth="1"/>
    <col min="13058" max="13058" width="19" style="170" customWidth="1"/>
    <col min="13059" max="13059" width="43.7109375" style="170" bestFit="1" customWidth="1"/>
    <col min="13060" max="13060" width="13.5703125" style="170" customWidth="1"/>
    <col min="13061" max="13312" width="9.140625" style="170"/>
    <col min="13313" max="13313" width="52.140625" style="170" customWidth="1"/>
    <col min="13314" max="13314" width="19" style="170" customWidth="1"/>
    <col min="13315" max="13315" width="43.7109375" style="170" bestFit="1" customWidth="1"/>
    <col min="13316" max="13316" width="13.5703125" style="170" customWidth="1"/>
    <col min="13317" max="13568" width="9.140625" style="170"/>
    <col min="13569" max="13569" width="52.140625" style="170" customWidth="1"/>
    <col min="13570" max="13570" width="19" style="170" customWidth="1"/>
    <col min="13571" max="13571" width="43.7109375" style="170" bestFit="1" customWidth="1"/>
    <col min="13572" max="13572" width="13.5703125" style="170" customWidth="1"/>
    <col min="13573" max="13824" width="9.140625" style="170"/>
    <col min="13825" max="13825" width="52.140625" style="170" customWidth="1"/>
    <col min="13826" max="13826" width="19" style="170" customWidth="1"/>
    <col min="13827" max="13827" width="43.7109375" style="170" bestFit="1" customWidth="1"/>
    <col min="13828" max="13828" width="13.5703125" style="170" customWidth="1"/>
    <col min="13829" max="14080" width="9.140625" style="170"/>
    <col min="14081" max="14081" width="52.140625" style="170" customWidth="1"/>
    <col min="14082" max="14082" width="19" style="170" customWidth="1"/>
    <col min="14083" max="14083" width="43.7109375" style="170" bestFit="1" customWidth="1"/>
    <col min="14084" max="14084" width="13.5703125" style="170" customWidth="1"/>
    <col min="14085" max="14336" width="9.140625" style="170"/>
    <col min="14337" max="14337" width="52.140625" style="170" customWidth="1"/>
    <col min="14338" max="14338" width="19" style="170" customWidth="1"/>
    <col min="14339" max="14339" width="43.7109375" style="170" bestFit="1" customWidth="1"/>
    <col min="14340" max="14340" width="13.5703125" style="170" customWidth="1"/>
    <col min="14341" max="14592" width="9.140625" style="170"/>
    <col min="14593" max="14593" width="52.140625" style="170" customWidth="1"/>
    <col min="14594" max="14594" width="19" style="170" customWidth="1"/>
    <col min="14595" max="14595" width="43.7109375" style="170" bestFit="1" customWidth="1"/>
    <col min="14596" max="14596" width="13.5703125" style="170" customWidth="1"/>
    <col min="14597" max="14848" width="9.140625" style="170"/>
    <col min="14849" max="14849" width="52.140625" style="170" customWidth="1"/>
    <col min="14850" max="14850" width="19" style="170" customWidth="1"/>
    <col min="14851" max="14851" width="43.7109375" style="170" bestFit="1" customWidth="1"/>
    <col min="14852" max="14852" width="13.5703125" style="170" customWidth="1"/>
    <col min="14853" max="15104" width="9.140625" style="170"/>
    <col min="15105" max="15105" width="52.140625" style="170" customWidth="1"/>
    <col min="15106" max="15106" width="19" style="170" customWidth="1"/>
    <col min="15107" max="15107" width="43.7109375" style="170" bestFit="1" customWidth="1"/>
    <col min="15108" max="15108" width="13.5703125" style="170" customWidth="1"/>
    <col min="15109" max="15360" width="9.140625" style="170"/>
    <col min="15361" max="15361" width="52.140625" style="170" customWidth="1"/>
    <col min="15362" max="15362" width="19" style="170" customWidth="1"/>
    <col min="15363" max="15363" width="43.7109375" style="170" bestFit="1" customWidth="1"/>
    <col min="15364" max="15364" width="13.5703125" style="170" customWidth="1"/>
    <col min="15365" max="15616" width="9.140625" style="170"/>
    <col min="15617" max="15617" width="52.140625" style="170" customWidth="1"/>
    <col min="15618" max="15618" width="19" style="170" customWidth="1"/>
    <col min="15619" max="15619" width="43.7109375" style="170" bestFit="1" customWidth="1"/>
    <col min="15620" max="15620" width="13.5703125" style="170" customWidth="1"/>
    <col min="15621" max="15872" width="9.140625" style="170"/>
    <col min="15873" max="15873" width="52.140625" style="170" customWidth="1"/>
    <col min="15874" max="15874" width="19" style="170" customWidth="1"/>
    <col min="15875" max="15875" width="43.7109375" style="170" bestFit="1" customWidth="1"/>
    <col min="15876" max="15876" width="13.5703125" style="170" customWidth="1"/>
    <col min="15877" max="16128" width="9.140625" style="170"/>
    <col min="16129" max="16129" width="52.140625" style="170" customWidth="1"/>
    <col min="16130" max="16130" width="19" style="170" customWidth="1"/>
    <col min="16131" max="16131" width="43.7109375" style="170" bestFit="1" customWidth="1"/>
    <col min="16132" max="16132" width="13.5703125" style="170" customWidth="1"/>
    <col min="16133" max="16384" width="9.140625" style="170"/>
  </cols>
  <sheetData>
    <row r="1" spans="1:4" ht="44.25" customHeight="1" x14ac:dyDescent="0.2"/>
    <row r="2" spans="1:4" ht="15.75" x14ac:dyDescent="0.25">
      <c r="A2" s="168" t="s">
        <v>1</v>
      </c>
      <c r="B2" s="1044" t="str">
        <f>'Material Specifications'!B3:C3</f>
        <v>ULTRATECH TOOL&amp; DESIGN, INC.</v>
      </c>
      <c r="C2" s="1045"/>
      <c r="D2" s="169"/>
    </row>
    <row r="3" spans="1:4" ht="15.75" x14ac:dyDescent="0.25">
      <c r="A3" s="168" t="s">
        <v>2</v>
      </c>
      <c r="B3" s="1046">
        <f>'Material Specifications'!B4:C4</f>
        <v>0</v>
      </c>
      <c r="C3" s="1045"/>
      <c r="D3" s="169"/>
    </row>
    <row r="4" spans="1:4" ht="15.75" x14ac:dyDescent="0.25">
      <c r="A4" s="168" t="s">
        <v>131</v>
      </c>
      <c r="B4" s="1044">
        <f>'Material Specifications'!B5:C5</f>
        <v>0</v>
      </c>
      <c r="C4" s="1045"/>
      <c r="D4" s="169"/>
    </row>
    <row r="5" spans="1:4" x14ac:dyDescent="0.2">
      <c r="C5" s="173"/>
      <c r="D5" s="174"/>
    </row>
    <row r="6" spans="1:4" x14ac:dyDescent="0.2">
      <c r="C6" s="173"/>
      <c r="D6" s="175"/>
    </row>
    <row r="7" spans="1:4" ht="15.75" x14ac:dyDescent="0.25">
      <c r="A7" s="176" t="s">
        <v>373</v>
      </c>
      <c r="B7" s="177"/>
      <c r="C7" s="173"/>
      <c r="D7" s="174"/>
    </row>
    <row r="8" spans="1:4" x14ac:dyDescent="0.2">
      <c r="A8" s="170"/>
      <c r="B8" s="177"/>
      <c r="C8" s="171" t="s">
        <v>374</v>
      </c>
      <c r="D8" s="178" t="s">
        <v>375</v>
      </c>
    </row>
    <row r="9" spans="1:4" ht="15.75" x14ac:dyDescent="0.25">
      <c r="A9" s="179" t="s">
        <v>376</v>
      </c>
      <c r="D9" s="180" t="s">
        <v>377</v>
      </c>
    </row>
    <row r="10" spans="1:4" x14ac:dyDescent="0.2">
      <c r="A10" s="181" t="s">
        <v>378</v>
      </c>
      <c r="B10" s="182">
        <f>'Material Specifications'!C13</f>
        <v>0.3</v>
      </c>
    </row>
    <row r="11" spans="1:4" x14ac:dyDescent="0.2">
      <c r="A11" s="181" t="s">
        <v>379</v>
      </c>
      <c r="B11" s="183">
        <f>'Material Specifications'!C11</f>
        <v>16</v>
      </c>
    </row>
    <row r="12" spans="1:4" x14ac:dyDescent="0.2">
      <c r="A12" s="181" t="s">
        <v>380</v>
      </c>
      <c r="B12" s="184">
        <f>'Material Specifications'!C16</f>
        <v>0</v>
      </c>
      <c r="C12" s="185" t="s">
        <v>381</v>
      </c>
      <c r="D12" s="186">
        <f>B12*0.75</f>
        <v>0</v>
      </c>
    </row>
    <row r="14" spans="1:4" ht="15.75" x14ac:dyDescent="0.25">
      <c r="A14" s="179" t="s">
        <v>382</v>
      </c>
      <c r="C14" s="187" t="s">
        <v>383</v>
      </c>
      <c r="D14" s="188"/>
    </row>
    <row r="15" spans="1:4" x14ac:dyDescent="0.2">
      <c r="A15" s="181" t="s">
        <v>384</v>
      </c>
      <c r="B15" s="183">
        <v>0.25</v>
      </c>
      <c r="C15" s="189" t="s">
        <v>385</v>
      </c>
      <c r="D15" s="188">
        <f>ATAN(B15/12)/PI()*180</f>
        <v>1.1934894239820351</v>
      </c>
    </row>
    <row r="16" spans="1:4" x14ac:dyDescent="0.2">
      <c r="A16" s="181" t="s">
        <v>386</v>
      </c>
      <c r="B16" s="183">
        <v>0.06</v>
      </c>
      <c r="C16" s="189" t="s">
        <v>387</v>
      </c>
      <c r="D16" s="188">
        <f>B10/TAN(RADIANS(D15))</f>
        <v>14.4</v>
      </c>
    </row>
    <row r="17" spans="1:7" x14ac:dyDescent="0.2">
      <c r="A17" s="181" t="s">
        <v>388</v>
      </c>
      <c r="B17" s="183">
        <v>0.75</v>
      </c>
      <c r="C17" s="189" t="s">
        <v>389</v>
      </c>
      <c r="D17" s="188">
        <f>(B10*D16)/2</f>
        <v>2.16</v>
      </c>
    </row>
    <row r="18" spans="1:7" x14ac:dyDescent="0.2">
      <c r="A18" s="181" t="s">
        <v>390</v>
      </c>
      <c r="B18" s="183">
        <v>0.38</v>
      </c>
      <c r="C18" s="190"/>
      <c r="D18" s="188"/>
    </row>
    <row r="19" spans="1:7" x14ac:dyDescent="0.2">
      <c r="A19" s="181"/>
      <c r="B19" s="191"/>
      <c r="C19" s="190"/>
      <c r="D19" s="188"/>
    </row>
    <row r="20" spans="1:7" ht="15.75" x14ac:dyDescent="0.25">
      <c r="A20" s="179" t="s">
        <v>391</v>
      </c>
      <c r="C20" s="189"/>
      <c r="D20" s="188"/>
    </row>
    <row r="21" spans="1:7" x14ac:dyDescent="0.2">
      <c r="A21" s="181" t="s">
        <v>392</v>
      </c>
      <c r="B21" s="183">
        <v>5</v>
      </c>
      <c r="C21" s="189" t="s">
        <v>393</v>
      </c>
      <c r="D21" s="188">
        <f>B11*(RADIANS(D15))+B10+B16</f>
        <v>0.69328512057947345</v>
      </c>
      <c r="E21" s="181"/>
      <c r="F21" s="181"/>
      <c r="G21" s="181"/>
    </row>
    <row r="22" spans="1:7" x14ac:dyDescent="0.2">
      <c r="A22" s="181" t="s">
        <v>394</v>
      </c>
      <c r="B22" s="183">
        <v>2</v>
      </c>
      <c r="C22" s="189" t="s">
        <v>395</v>
      </c>
      <c r="D22" s="188">
        <f>D21+B17</f>
        <v>1.4432851205794734</v>
      </c>
      <c r="E22" s="181"/>
      <c r="F22" s="181"/>
      <c r="G22" s="181"/>
    </row>
    <row r="23" spans="1:7" x14ac:dyDescent="0.2">
      <c r="A23" s="181" t="s">
        <v>396</v>
      </c>
      <c r="B23" s="183">
        <v>2.25</v>
      </c>
      <c r="C23" s="189" t="s">
        <v>397</v>
      </c>
      <c r="D23" s="188">
        <f>B23-D21</f>
        <v>1.5567148794205266</v>
      </c>
      <c r="E23" s="181"/>
      <c r="F23" s="181"/>
      <c r="G23" s="181"/>
    </row>
    <row r="24" spans="1:7" ht="15.75" x14ac:dyDescent="0.25">
      <c r="E24" s="181"/>
      <c r="F24" s="192"/>
      <c r="G24" s="192"/>
    </row>
    <row r="25" spans="1:7" ht="15.75" x14ac:dyDescent="0.25">
      <c r="A25" s="179" t="s">
        <v>398</v>
      </c>
      <c r="E25" s="192"/>
      <c r="F25" s="192"/>
      <c r="G25" s="192"/>
    </row>
    <row r="26" spans="1:7" ht="15.75" x14ac:dyDescent="0.25">
      <c r="A26" s="181" t="s">
        <v>399</v>
      </c>
      <c r="B26" s="183">
        <v>2000</v>
      </c>
      <c r="C26" s="189" t="s">
        <v>400</v>
      </c>
      <c r="D26" s="188">
        <f>(((B21/2)^2)*PI()-((B22/2)^2)*PI())</f>
        <v>16.493361431346415</v>
      </c>
      <c r="E26" s="192"/>
      <c r="F26" s="192"/>
      <c r="G26" s="192"/>
    </row>
    <row r="27" spans="1:7" ht="15.75" x14ac:dyDescent="0.25">
      <c r="C27" s="189" t="s">
        <v>401</v>
      </c>
      <c r="D27" s="188">
        <f>D26*B23</f>
        <v>37.110063220529433</v>
      </c>
      <c r="E27" s="192"/>
      <c r="F27" s="192"/>
      <c r="G27" s="192"/>
    </row>
    <row r="28" spans="1:7" s="193" customFormat="1" ht="15.75" x14ac:dyDescent="0.25">
      <c r="B28" s="194"/>
      <c r="C28" s="189" t="s">
        <v>402</v>
      </c>
      <c r="D28" s="188">
        <f>B42/(3.117*D26)</f>
        <v>0.374985938027324</v>
      </c>
      <c r="E28" s="192"/>
      <c r="F28" s="192"/>
      <c r="G28" s="192"/>
    </row>
    <row r="29" spans="1:7" ht="15.75" x14ac:dyDescent="0.25">
      <c r="A29" s="179" t="s">
        <v>403</v>
      </c>
    </row>
    <row r="30" spans="1:7" x14ac:dyDescent="0.2">
      <c r="A30" s="181" t="s">
        <v>404</v>
      </c>
      <c r="B30" s="183">
        <v>0.5</v>
      </c>
    </row>
    <row r="31" spans="1:7" x14ac:dyDescent="0.2">
      <c r="A31" s="181" t="s">
        <v>405</v>
      </c>
      <c r="B31" s="183">
        <v>1</v>
      </c>
    </row>
    <row r="34" spans="1:5" ht="15.75" x14ac:dyDescent="0.25">
      <c r="E34" s="192"/>
    </row>
    <row r="35" spans="1:5" ht="15.75" x14ac:dyDescent="0.25">
      <c r="A35" s="195" t="s">
        <v>406</v>
      </c>
      <c r="E35" s="192"/>
    </row>
    <row r="36" spans="1:5" ht="15.75" x14ac:dyDescent="0.25">
      <c r="E36" s="192"/>
    </row>
    <row r="37" spans="1:5" ht="15.75" x14ac:dyDescent="0.25">
      <c r="A37" s="192" t="s">
        <v>407</v>
      </c>
      <c r="B37" s="196">
        <f>(((B21/2)^2)*PI()-((B22/2)^2)*PI())*B26/2</f>
        <v>16493.361431346413</v>
      </c>
      <c r="E37" s="192"/>
    </row>
    <row r="38" spans="1:5" ht="15.75" x14ac:dyDescent="0.25">
      <c r="A38" s="192" t="s">
        <v>408</v>
      </c>
      <c r="B38" s="196">
        <f>B37*2</f>
        <v>32986.722862692826</v>
      </c>
      <c r="E38" s="192"/>
    </row>
    <row r="39" spans="1:5" ht="15.75" x14ac:dyDescent="0.25">
      <c r="A39" s="192" t="s">
        <v>409</v>
      </c>
      <c r="B39" s="196">
        <f>D17*D12*(1-B18)</f>
        <v>0</v>
      </c>
    </row>
    <row r="40" spans="1:5" ht="15.75" x14ac:dyDescent="0.25">
      <c r="A40" s="192" t="s">
        <v>410</v>
      </c>
      <c r="B40" s="192">
        <f>B38*0.0005</f>
        <v>16.493361431346415</v>
      </c>
    </row>
    <row r="41" spans="1:5" ht="15.75" x14ac:dyDescent="0.25">
      <c r="A41" s="192" t="s">
        <v>411</v>
      </c>
      <c r="B41" s="196" t="e">
        <f>B38/B39</f>
        <v>#DIV/0!</v>
      </c>
    </row>
    <row r="42" spans="1:5" ht="15.75" x14ac:dyDescent="0.25">
      <c r="A42" s="192" t="s">
        <v>412</v>
      </c>
      <c r="B42" s="196">
        <f>((D27/231)*60)/B30</f>
        <v>19.277954919755551</v>
      </c>
    </row>
    <row r="43" spans="1:5" ht="15.75" x14ac:dyDescent="0.25">
      <c r="A43" s="192" t="s">
        <v>413</v>
      </c>
      <c r="B43" s="196">
        <f>B42*B45/B44</f>
        <v>9.6389774598777755</v>
      </c>
    </row>
    <row r="44" spans="1:5" ht="15.75" x14ac:dyDescent="0.25">
      <c r="A44" s="192" t="s">
        <v>414</v>
      </c>
      <c r="B44" s="197">
        <f>(1/(B30*2))*60</f>
        <v>60</v>
      </c>
    </row>
    <row r="45" spans="1:5" ht="15.75" x14ac:dyDescent="0.25">
      <c r="A45" s="192" t="s">
        <v>415</v>
      </c>
      <c r="B45" s="197">
        <f>1/(B30*2+B31)*60</f>
        <v>30</v>
      </c>
    </row>
    <row r="46" spans="1:5" ht="15.75" x14ac:dyDescent="0.25">
      <c r="A46" s="192" t="s">
        <v>416</v>
      </c>
      <c r="B46" s="198">
        <f>B45*60</f>
        <v>1800</v>
      </c>
    </row>
  </sheetData>
  <mergeCells count="3">
    <mergeCell ref="B2:C2"/>
    <mergeCell ref="B3:C3"/>
    <mergeCell ref="B4:C4"/>
  </mergeCells>
  <conditionalFormatting sqref="B41">
    <cfRule type="cellIs" dxfId="19" priority="1" stopIfTrue="1" operator="lessThan">
      <formula>1</formula>
    </cfRule>
  </conditionalFormatting>
  <conditionalFormatting sqref="B38">
    <cfRule type="cellIs" dxfId="18" priority="2" stopIfTrue="1" operator="lessThan">
      <formula>$B$39</formula>
    </cfRule>
  </conditionalFormatting>
  <conditionalFormatting sqref="E24 F23:G23">
    <cfRule type="cellIs" dxfId="17" priority="3" stopIfTrue="1" operator="lessThan">
      <formula>$D$22</formula>
    </cfRule>
  </conditionalFormatting>
  <pageMargins left="0.44" right="0.28999999999999998" top="0.9" bottom="1" header="0.44" footer="0.5"/>
  <pageSetup scale="76" orientation="portrait" r:id="rId1"/>
  <headerFooter alignWithMargins="0">
    <oddHeader>&amp;C&amp;"Arial,Bold"&amp;16Straight Cut Shear Calculation&amp;14
&amp;11(single rake blade)</oddHeader>
    <oddFooter>&amp;C&amp;8&amp;F  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Tbl_Contents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2162175</xdr:colOff>
                    <xdr:row>0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FD00C-17B1-4A74-8D2B-2424EB781AC2}">
  <sheetPr codeName="Sheet22">
    <tabColor theme="1"/>
    <pageSetUpPr fitToPage="1"/>
  </sheetPr>
  <dimension ref="A1:G63"/>
  <sheetViews>
    <sheetView zoomScale="70" zoomScaleNormal="70" workbookViewId="0">
      <selection activeCell="B2" sqref="B2:C2"/>
    </sheetView>
  </sheetViews>
  <sheetFormatPr defaultRowHeight="15" x14ac:dyDescent="0.2"/>
  <cols>
    <col min="1" max="1" width="53" style="171" customWidth="1"/>
    <col min="2" max="2" width="19" style="172" customWidth="1"/>
    <col min="3" max="3" width="43.7109375" style="170" bestFit="1" customWidth="1"/>
    <col min="4" max="4" width="18.28515625" style="178" customWidth="1"/>
    <col min="5" max="256" width="9.140625" style="170"/>
    <col min="257" max="257" width="53" style="170" customWidth="1"/>
    <col min="258" max="258" width="19" style="170" customWidth="1"/>
    <col min="259" max="259" width="43.7109375" style="170" bestFit="1" customWidth="1"/>
    <col min="260" max="260" width="18.28515625" style="170" customWidth="1"/>
    <col min="261" max="512" width="9.140625" style="170"/>
    <col min="513" max="513" width="53" style="170" customWidth="1"/>
    <col min="514" max="514" width="19" style="170" customWidth="1"/>
    <col min="515" max="515" width="43.7109375" style="170" bestFit="1" customWidth="1"/>
    <col min="516" max="516" width="18.28515625" style="170" customWidth="1"/>
    <col min="517" max="768" width="9.140625" style="170"/>
    <col min="769" max="769" width="53" style="170" customWidth="1"/>
    <col min="770" max="770" width="19" style="170" customWidth="1"/>
    <col min="771" max="771" width="43.7109375" style="170" bestFit="1" customWidth="1"/>
    <col min="772" max="772" width="18.28515625" style="170" customWidth="1"/>
    <col min="773" max="1024" width="9.140625" style="170"/>
    <col min="1025" max="1025" width="53" style="170" customWidth="1"/>
    <col min="1026" max="1026" width="19" style="170" customWidth="1"/>
    <col min="1027" max="1027" width="43.7109375" style="170" bestFit="1" customWidth="1"/>
    <col min="1028" max="1028" width="18.28515625" style="170" customWidth="1"/>
    <col min="1029" max="1280" width="9.140625" style="170"/>
    <col min="1281" max="1281" width="53" style="170" customWidth="1"/>
    <col min="1282" max="1282" width="19" style="170" customWidth="1"/>
    <col min="1283" max="1283" width="43.7109375" style="170" bestFit="1" customWidth="1"/>
    <col min="1284" max="1284" width="18.28515625" style="170" customWidth="1"/>
    <col min="1285" max="1536" width="9.140625" style="170"/>
    <col min="1537" max="1537" width="53" style="170" customWidth="1"/>
    <col min="1538" max="1538" width="19" style="170" customWidth="1"/>
    <col min="1539" max="1539" width="43.7109375" style="170" bestFit="1" customWidth="1"/>
    <col min="1540" max="1540" width="18.28515625" style="170" customWidth="1"/>
    <col min="1541" max="1792" width="9.140625" style="170"/>
    <col min="1793" max="1793" width="53" style="170" customWidth="1"/>
    <col min="1794" max="1794" width="19" style="170" customWidth="1"/>
    <col min="1795" max="1795" width="43.7109375" style="170" bestFit="1" customWidth="1"/>
    <col min="1796" max="1796" width="18.28515625" style="170" customWidth="1"/>
    <col min="1797" max="2048" width="9.140625" style="170"/>
    <col min="2049" max="2049" width="53" style="170" customWidth="1"/>
    <col min="2050" max="2050" width="19" style="170" customWidth="1"/>
    <col min="2051" max="2051" width="43.7109375" style="170" bestFit="1" customWidth="1"/>
    <col min="2052" max="2052" width="18.28515625" style="170" customWidth="1"/>
    <col min="2053" max="2304" width="9.140625" style="170"/>
    <col min="2305" max="2305" width="53" style="170" customWidth="1"/>
    <col min="2306" max="2306" width="19" style="170" customWidth="1"/>
    <col min="2307" max="2307" width="43.7109375" style="170" bestFit="1" customWidth="1"/>
    <col min="2308" max="2308" width="18.28515625" style="170" customWidth="1"/>
    <col min="2309" max="2560" width="9.140625" style="170"/>
    <col min="2561" max="2561" width="53" style="170" customWidth="1"/>
    <col min="2562" max="2562" width="19" style="170" customWidth="1"/>
    <col min="2563" max="2563" width="43.7109375" style="170" bestFit="1" customWidth="1"/>
    <col min="2564" max="2564" width="18.28515625" style="170" customWidth="1"/>
    <col min="2565" max="2816" width="9.140625" style="170"/>
    <col min="2817" max="2817" width="53" style="170" customWidth="1"/>
    <col min="2818" max="2818" width="19" style="170" customWidth="1"/>
    <col min="2819" max="2819" width="43.7109375" style="170" bestFit="1" customWidth="1"/>
    <col min="2820" max="2820" width="18.28515625" style="170" customWidth="1"/>
    <col min="2821" max="3072" width="9.140625" style="170"/>
    <col min="3073" max="3073" width="53" style="170" customWidth="1"/>
    <col min="3074" max="3074" width="19" style="170" customWidth="1"/>
    <col min="3075" max="3075" width="43.7109375" style="170" bestFit="1" customWidth="1"/>
    <col min="3076" max="3076" width="18.28515625" style="170" customWidth="1"/>
    <col min="3077" max="3328" width="9.140625" style="170"/>
    <col min="3329" max="3329" width="53" style="170" customWidth="1"/>
    <col min="3330" max="3330" width="19" style="170" customWidth="1"/>
    <col min="3331" max="3331" width="43.7109375" style="170" bestFit="1" customWidth="1"/>
    <col min="3332" max="3332" width="18.28515625" style="170" customWidth="1"/>
    <col min="3333" max="3584" width="9.140625" style="170"/>
    <col min="3585" max="3585" width="53" style="170" customWidth="1"/>
    <col min="3586" max="3586" width="19" style="170" customWidth="1"/>
    <col min="3587" max="3587" width="43.7109375" style="170" bestFit="1" customWidth="1"/>
    <col min="3588" max="3588" width="18.28515625" style="170" customWidth="1"/>
    <col min="3589" max="3840" width="9.140625" style="170"/>
    <col min="3841" max="3841" width="53" style="170" customWidth="1"/>
    <col min="3842" max="3842" width="19" style="170" customWidth="1"/>
    <col min="3843" max="3843" width="43.7109375" style="170" bestFit="1" customWidth="1"/>
    <col min="3844" max="3844" width="18.28515625" style="170" customWidth="1"/>
    <col min="3845" max="4096" width="9.140625" style="170"/>
    <col min="4097" max="4097" width="53" style="170" customWidth="1"/>
    <col min="4098" max="4098" width="19" style="170" customWidth="1"/>
    <col min="4099" max="4099" width="43.7109375" style="170" bestFit="1" customWidth="1"/>
    <col min="4100" max="4100" width="18.28515625" style="170" customWidth="1"/>
    <col min="4101" max="4352" width="9.140625" style="170"/>
    <col min="4353" max="4353" width="53" style="170" customWidth="1"/>
    <col min="4354" max="4354" width="19" style="170" customWidth="1"/>
    <col min="4355" max="4355" width="43.7109375" style="170" bestFit="1" customWidth="1"/>
    <col min="4356" max="4356" width="18.28515625" style="170" customWidth="1"/>
    <col min="4357" max="4608" width="9.140625" style="170"/>
    <col min="4609" max="4609" width="53" style="170" customWidth="1"/>
    <col min="4610" max="4610" width="19" style="170" customWidth="1"/>
    <col min="4611" max="4611" width="43.7109375" style="170" bestFit="1" customWidth="1"/>
    <col min="4612" max="4612" width="18.28515625" style="170" customWidth="1"/>
    <col min="4613" max="4864" width="9.140625" style="170"/>
    <col min="4865" max="4865" width="53" style="170" customWidth="1"/>
    <col min="4866" max="4866" width="19" style="170" customWidth="1"/>
    <col min="4867" max="4867" width="43.7109375" style="170" bestFit="1" customWidth="1"/>
    <col min="4868" max="4868" width="18.28515625" style="170" customWidth="1"/>
    <col min="4869" max="5120" width="9.140625" style="170"/>
    <col min="5121" max="5121" width="53" style="170" customWidth="1"/>
    <col min="5122" max="5122" width="19" style="170" customWidth="1"/>
    <col min="5123" max="5123" width="43.7109375" style="170" bestFit="1" customWidth="1"/>
    <col min="5124" max="5124" width="18.28515625" style="170" customWidth="1"/>
    <col min="5125" max="5376" width="9.140625" style="170"/>
    <col min="5377" max="5377" width="53" style="170" customWidth="1"/>
    <col min="5378" max="5378" width="19" style="170" customWidth="1"/>
    <col min="5379" max="5379" width="43.7109375" style="170" bestFit="1" customWidth="1"/>
    <col min="5380" max="5380" width="18.28515625" style="170" customWidth="1"/>
    <col min="5381" max="5632" width="9.140625" style="170"/>
    <col min="5633" max="5633" width="53" style="170" customWidth="1"/>
    <col min="5634" max="5634" width="19" style="170" customWidth="1"/>
    <col min="5635" max="5635" width="43.7109375" style="170" bestFit="1" customWidth="1"/>
    <col min="5636" max="5636" width="18.28515625" style="170" customWidth="1"/>
    <col min="5637" max="5888" width="9.140625" style="170"/>
    <col min="5889" max="5889" width="53" style="170" customWidth="1"/>
    <col min="5890" max="5890" width="19" style="170" customWidth="1"/>
    <col min="5891" max="5891" width="43.7109375" style="170" bestFit="1" customWidth="1"/>
    <col min="5892" max="5892" width="18.28515625" style="170" customWidth="1"/>
    <col min="5893" max="6144" width="9.140625" style="170"/>
    <col min="6145" max="6145" width="53" style="170" customWidth="1"/>
    <col min="6146" max="6146" width="19" style="170" customWidth="1"/>
    <col min="6147" max="6147" width="43.7109375" style="170" bestFit="1" customWidth="1"/>
    <col min="6148" max="6148" width="18.28515625" style="170" customWidth="1"/>
    <col min="6149" max="6400" width="9.140625" style="170"/>
    <col min="6401" max="6401" width="53" style="170" customWidth="1"/>
    <col min="6402" max="6402" width="19" style="170" customWidth="1"/>
    <col min="6403" max="6403" width="43.7109375" style="170" bestFit="1" customWidth="1"/>
    <col min="6404" max="6404" width="18.28515625" style="170" customWidth="1"/>
    <col min="6405" max="6656" width="9.140625" style="170"/>
    <col min="6657" max="6657" width="53" style="170" customWidth="1"/>
    <col min="6658" max="6658" width="19" style="170" customWidth="1"/>
    <col min="6659" max="6659" width="43.7109375" style="170" bestFit="1" customWidth="1"/>
    <col min="6660" max="6660" width="18.28515625" style="170" customWidth="1"/>
    <col min="6661" max="6912" width="9.140625" style="170"/>
    <col min="6913" max="6913" width="53" style="170" customWidth="1"/>
    <col min="6914" max="6914" width="19" style="170" customWidth="1"/>
    <col min="6915" max="6915" width="43.7109375" style="170" bestFit="1" customWidth="1"/>
    <col min="6916" max="6916" width="18.28515625" style="170" customWidth="1"/>
    <col min="6917" max="7168" width="9.140625" style="170"/>
    <col min="7169" max="7169" width="53" style="170" customWidth="1"/>
    <col min="7170" max="7170" width="19" style="170" customWidth="1"/>
    <col min="7171" max="7171" width="43.7109375" style="170" bestFit="1" customWidth="1"/>
    <col min="7172" max="7172" width="18.28515625" style="170" customWidth="1"/>
    <col min="7173" max="7424" width="9.140625" style="170"/>
    <col min="7425" max="7425" width="53" style="170" customWidth="1"/>
    <col min="7426" max="7426" width="19" style="170" customWidth="1"/>
    <col min="7427" max="7427" width="43.7109375" style="170" bestFit="1" customWidth="1"/>
    <col min="7428" max="7428" width="18.28515625" style="170" customWidth="1"/>
    <col min="7429" max="7680" width="9.140625" style="170"/>
    <col min="7681" max="7681" width="53" style="170" customWidth="1"/>
    <col min="7682" max="7682" width="19" style="170" customWidth="1"/>
    <col min="7683" max="7683" width="43.7109375" style="170" bestFit="1" customWidth="1"/>
    <col min="7684" max="7684" width="18.28515625" style="170" customWidth="1"/>
    <col min="7685" max="7936" width="9.140625" style="170"/>
    <col min="7937" max="7937" width="53" style="170" customWidth="1"/>
    <col min="7938" max="7938" width="19" style="170" customWidth="1"/>
    <col min="7939" max="7939" width="43.7109375" style="170" bestFit="1" customWidth="1"/>
    <col min="7940" max="7940" width="18.28515625" style="170" customWidth="1"/>
    <col min="7941" max="8192" width="9.140625" style="170"/>
    <col min="8193" max="8193" width="53" style="170" customWidth="1"/>
    <col min="8194" max="8194" width="19" style="170" customWidth="1"/>
    <col min="8195" max="8195" width="43.7109375" style="170" bestFit="1" customWidth="1"/>
    <col min="8196" max="8196" width="18.28515625" style="170" customWidth="1"/>
    <col min="8197" max="8448" width="9.140625" style="170"/>
    <col min="8449" max="8449" width="53" style="170" customWidth="1"/>
    <col min="8450" max="8450" width="19" style="170" customWidth="1"/>
    <col min="8451" max="8451" width="43.7109375" style="170" bestFit="1" customWidth="1"/>
    <col min="8452" max="8452" width="18.28515625" style="170" customWidth="1"/>
    <col min="8453" max="8704" width="9.140625" style="170"/>
    <col min="8705" max="8705" width="53" style="170" customWidth="1"/>
    <col min="8706" max="8706" width="19" style="170" customWidth="1"/>
    <col min="8707" max="8707" width="43.7109375" style="170" bestFit="1" customWidth="1"/>
    <col min="8708" max="8708" width="18.28515625" style="170" customWidth="1"/>
    <col min="8709" max="8960" width="9.140625" style="170"/>
    <col min="8961" max="8961" width="53" style="170" customWidth="1"/>
    <col min="8962" max="8962" width="19" style="170" customWidth="1"/>
    <col min="8963" max="8963" width="43.7109375" style="170" bestFit="1" customWidth="1"/>
    <col min="8964" max="8964" width="18.28515625" style="170" customWidth="1"/>
    <col min="8965" max="9216" width="9.140625" style="170"/>
    <col min="9217" max="9217" width="53" style="170" customWidth="1"/>
    <col min="9218" max="9218" width="19" style="170" customWidth="1"/>
    <col min="9219" max="9219" width="43.7109375" style="170" bestFit="1" customWidth="1"/>
    <col min="9220" max="9220" width="18.28515625" style="170" customWidth="1"/>
    <col min="9221" max="9472" width="9.140625" style="170"/>
    <col min="9473" max="9473" width="53" style="170" customWidth="1"/>
    <col min="9474" max="9474" width="19" style="170" customWidth="1"/>
    <col min="9475" max="9475" width="43.7109375" style="170" bestFit="1" customWidth="1"/>
    <col min="9476" max="9476" width="18.28515625" style="170" customWidth="1"/>
    <col min="9477" max="9728" width="9.140625" style="170"/>
    <col min="9729" max="9729" width="53" style="170" customWidth="1"/>
    <col min="9730" max="9730" width="19" style="170" customWidth="1"/>
    <col min="9731" max="9731" width="43.7109375" style="170" bestFit="1" customWidth="1"/>
    <col min="9732" max="9732" width="18.28515625" style="170" customWidth="1"/>
    <col min="9733" max="9984" width="9.140625" style="170"/>
    <col min="9985" max="9985" width="53" style="170" customWidth="1"/>
    <col min="9986" max="9986" width="19" style="170" customWidth="1"/>
    <col min="9987" max="9987" width="43.7109375" style="170" bestFit="1" customWidth="1"/>
    <col min="9988" max="9988" width="18.28515625" style="170" customWidth="1"/>
    <col min="9989" max="10240" width="9.140625" style="170"/>
    <col min="10241" max="10241" width="53" style="170" customWidth="1"/>
    <col min="10242" max="10242" width="19" style="170" customWidth="1"/>
    <col min="10243" max="10243" width="43.7109375" style="170" bestFit="1" customWidth="1"/>
    <col min="10244" max="10244" width="18.28515625" style="170" customWidth="1"/>
    <col min="10245" max="10496" width="9.140625" style="170"/>
    <col min="10497" max="10497" width="53" style="170" customWidth="1"/>
    <col min="10498" max="10498" width="19" style="170" customWidth="1"/>
    <col min="10499" max="10499" width="43.7109375" style="170" bestFit="1" customWidth="1"/>
    <col min="10500" max="10500" width="18.28515625" style="170" customWidth="1"/>
    <col min="10501" max="10752" width="9.140625" style="170"/>
    <col min="10753" max="10753" width="53" style="170" customWidth="1"/>
    <col min="10754" max="10754" width="19" style="170" customWidth="1"/>
    <col min="10755" max="10755" width="43.7109375" style="170" bestFit="1" customWidth="1"/>
    <col min="10756" max="10756" width="18.28515625" style="170" customWidth="1"/>
    <col min="10757" max="11008" width="9.140625" style="170"/>
    <col min="11009" max="11009" width="53" style="170" customWidth="1"/>
    <col min="11010" max="11010" width="19" style="170" customWidth="1"/>
    <col min="11011" max="11011" width="43.7109375" style="170" bestFit="1" customWidth="1"/>
    <col min="11012" max="11012" width="18.28515625" style="170" customWidth="1"/>
    <col min="11013" max="11264" width="9.140625" style="170"/>
    <col min="11265" max="11265" width="53" style="170" customWidth="1"/>
    <col min="11266" max="11266" width="19" style="170" customWidth="1"/>
    <col min="11267" max="11267" width="43.7109375" style="170" bestFit="1" customWidth="1"/>
    <col min="11268" max="11268" width="18.28515625" style="170" customWidth="1"/>
    <col min="11269" max="11520" width="9.140625" style="170"/>
    <col min="11521" max="11521" width="53" style="170" customWidth="1"/>
    <col min="11522" max="11522" width="19" style="170" customWidth="1"/>
    <col min="11523" max="11523" width="43.7109375" style="170" bestFit="1" customWidth="1"/>
    <col min="11524" max="11524" width="18.28515625" style="170" customWidth="1"/>
    <col min="11525" max="11776" width="9.140625" style="170"/>
    <col min="11777" max="11777" width="53" style="170" customWidth="1"/>
    <col min="11778" max="11778" width="19" style="170" customWidth="1"/>
    <col min="11779" max="11779" width="43.7109375" style="170" bestFit="1" customWidth="1"/>
    <col min="11780" max="11780" width="18.28515625" style="170" customWidth="1"/>
    <col min="11781" max="12032" width="9.140625" style="170"/>
    <col min="12033" max="12033" width="53" style="170" customWidth="1"/>
    <col min="12034" max="12034" width="19" style="170" customWidth="1"/>
    <col min="12035" max="12035" width="43.7109375" style="170" bestFit="1" customWidth="1"/>
    <col min="12036" max="12036" width="18.28515625" style="170" customWidth="1"/>
    <col min="12037" max="12288" width="9.140625" style="170"/>
    <col min="12289" max="12289" width="53" style="170" customWidth="1"/>
    <col min="12290" max="12290" width="19" style="170" customWidth="1"/>
    <col min="12291" max="12291" width="43.7109375" style="170" bestFit="1" customWidth="1"/>
    <col min="12292" max="12292" width="18.28515625" style="170" customWidth="1"/>
    <col min="12293" max="12544" width="9.140625" style="170"/>
    <col min="12545" max="12545" width="53" style="170" customWidth="1"/>
    <col min="12546" max="12546" width="19" style="170" customWidth="1"/>
    <col min="12547" max="12547" width="43.7109375" style="170" bestFit="1" customWidth="1"/>
    <col min="12548" max="12548" width="18.28515625" style="170" customWidth="1"/>
    <col min="12549" max="12800" width="9.140625" style="170"/>
    <col min="12801" max="12801" width="53" style="170" customWidth="1"/>
    <col min="12802" max="12802" width="19" style="170" customWidth="1"/>
    <col min="12803" max="12803" width="43.7109375" style="170" bestFit="1" customWidth="1"/>
    <col min="12804" max="12804" width="18.28515625" style="170" customWidth="1"/>
    <col min="12805" max="13056" width="9.140625" style="170"/>
    <col min="13057" max="13057" width="53" style="170" customWidth="1"/>
    <col min="13058" max="13058" width="19" style="170" customWidth="1"/>
    <col min="13059" max="13059" width="43.7109375" style="170" bestFit="1" customWidth="1"/>
    <col min="13060" max="13060" width="18.28515625" style="170" customWidth="1"/>
    <col min="13061" max="13312" width="9.140625" style="170"/>
    <col min="13313" max="13313" width="53" style="170" customWidth="1"/>
    <col min="13314" max="13314" width="19" style="170" customWidth="1"/>
    <col min="13315" max="13315" width="43.7109375" style="170" bestFit="1" customWidth="1"/>
    <col min="13316" max="13316" width="18.28515625" style="170" customWidth="1"/>
    <col min="13317" max="13568" width="9.140625" style="170"/>
    <col min="13569" max="13569" width="53" style="170" customWidth="1"/>
    <col min="13570" max="13570" width="19" style="170" customWidth="1"/>
    <col min="13571" max="13571" width="43.7109375" style="170" bestFit="1" customWidth="1"/>
    <col min="13572" max="13572" width="18.28515625" style="170" customWidth="1"/>
    <col min="13573" max="13824" width="9.140625" style="170"/>
    <col min="13825" max="13825" width="53" style="170" customWidth="1"/>
    <col min="13826" max="13826" width="19" style="170" customWidth="1"/>
    <col min="13827" max="13827" width="43.7109375" style="170" bestFit="1" customWidth="1"/>
    <col min="13828" max="13828" width="18.28515625" style="170" customWidth="1"/>
    <col min="13829" max="14080" width="9.140625" style="170"/>
    <col min="14081" max="14081" width="53" style="170" customWidth="1"/>
    <col min="14082" max="14082" width="19" style="170" customWidth="1"/>
    <col min="14083" max="14083" width="43.7109375" style="170" bestFit="1" customWidth="1"/>
    <col min="14084" max="14084" width="18.28515625" style="170" customWidth="1"/>
    <col min="14085" max="14336" width="9.140625" style="170"/>
    <col min="14337" max="14337" width="53" style="170" customWidth="1"/>
    <col min="14338" max="14338" width="19" style="170" customWidth="1"/>
    <col min="14339" max="14339" width="43.7109375" style="170" bestFit="1" customWidth="1"/>
    <col min="14340" max="14340" width="18.28515625" style="170" customWidth="1"/>
    <col min="14341" max="14592" width="9.140625" style="170"/>
    <col min="14593" max="14593" width="53" style="170" customWidth="1"/>
    <col min="14594" max="14594" width="19" style="170" customWidth="1"/>
    <col min="14595" max="14595" width="43.7109375" style="170" bestFit="1" customWidth="1"/>
    <col min="14596" max="14596" width="18.28515625" style="170" customWidth="1"/>
    <col min="14597" max="14848" width="9.140625" style="170"/>
    <col min="14849" max="14849" width="53" style="170" customWidth="1"/>
    <col min="14850" max="14850" width="19" style="170" customWidth="1"/>
    <col min="14851" max="14851" width="43.7109375" style="170" bestFit="1" customWidth="1"/>
    <col min="14852" max="14852" width="18.28515625" style="170" customWidth="1"/>
    <col min="14853" max="15104" width="9.140625" style="170"/>
    <col min="15105" max="15105" width="53" style="170" customWidth="1"/>
    <col min="15106" max="15106" width="19" style="170" customWidth="1"/>
    <col min="15107" max="15107" width="43.7109375" style="170" bestFit="1" customWidth="1"/>
    <col min="15108" max="15108" width="18.28515625" style="170" customWidth="1"/>
    <col min="15109" max="15360" width="9.140625" style="170"/>
    <col min="15361" max="15361" width="53" style="170" customWidth="1"/>
    <col min="15362" max="15362" width="19" style="170" customWidth="1"/>
    <col min="15363" max="15363" width="43.7109375" style="170" bestFit="1" customWidth="1"/>
    <col min="15364" max="15364" width="18.28515625" style="170" customWidth="1"/>
    <col min="15365" max="15616" width="9.140625" style="170"/>
    <col min="15617" max="15617" width="53" style="170" customWidth="1"/>
    <col min="15618" max="15618" width="19" style="170" customWidth="1"/>
    <col min="15619" max="15619" width="43.7109375" style="170" bestFit="1" customWidth="1"/>
    <col min="15620" max="15620" width="18.28515625" style="170" customWidth="1"/>
    <col min="15621" max="15872" width="9.140625" style="170"/>
    <col min="15873" max="15873" width="53" style="170" customWidth="1"/>
    <col min="15874" max="15874" width="19" style="170" customWidth="1"/>
    <col min="15875" max="15875" width="43.7109375" style="170" bestFit="1" customWidth="1"/>
    <col min="15876" max="15876" width="18.28515625" style="170" customWidth="1"/>
    <col min="15877" max="16128" width="9.140625" style="170"/>
    <col min="16129" max="16129" width="53" style="170" customWidth="1"/>
    <col min="16130" max="16130" width="19" style="170" customWidth="1"/>
    <col min="16131" max="16131" width="43.7109375" style="170" bestFit="1" customWidth="1"/>
    <col min="16132" max="16132" width="18.28515625" style="170" customWidth="1"/>
    <col min="16133" max="16384" width="9.140625" style="170"/>
  </cols>
  <sheetData>
    <row r="1" spans="1:4" ht="40.5" customHeight="1" x14ac:dyDescent="0.2"/>
    <row r="2" spans="1:4" ht="15.75" x14ac:dyDescent="0.25">
      <c r="A2" s="168" t="s">
        <v>1</v>
      </c>
      <c r="B2" s="1044" t="str">
        <f>'Material Specifications'!B3:C3</f>
        <v>ULTRATECH TOOL&amp; DESIGN, INC.</v>
      </c>
      <c r="C2" s="1047"/>
    </row>
    <row r="3" spans="1:4" ht="15.75" x14ac:dyDescent="0.25">
      <c r="A3" s="168" t="s">
        <v>2</v>
      </c>
      <c r="B3" s="1046">
        <f>'Material Specifications'!B4:C4</f>
        <v>0</v>
      </c>
      <c r="C3" s="1047"/>
    </row>
    <row r="4" spans="1:4" ht="15.75" x14ac:dyDescent="0.25">
      <c r="A4" s="168" t="s">
        <v>131</v>
      </c>
      <c r="B4" s="1044">
        <f>'Material Specifications'!B5:C5</f>
        <v>0</v>
      </c>
      <c r="C4" s="1047"/>
    </row>
    <row r="5" spans="1:4" x14ac:dyDescent="0.2">
      <c r="C5" s="173"/>
      <c r="D5" s="174"/>
    </row>
    <row r="6" spans="1:4" x14ac:dyDescent="0.2">
      <c r="C6" s="173"/>
      <c r="D6" s="175"/>
    </row>
    <row r="7" spans="1:4" ht="15.75" x14ac:dyDescent="0.25">
      <c r="A7" s="199" t="s">
        <v>373</v>
      </c>
      <c r="B7" s="177"/>
      <c r="C7" s="173"/>
      <c r="D7" s="174"/>
    </row>
    <row r="8" spans="1:4" x14ac:dyDescent="0.2">
      <c r="A8" s="170"/>
      <c r="B8" s="177"/>
      <c r="C8" s="171" t="s">
        <v>374</v>
      </c>
      <c r="D8" s="178" t="s">
        <v>375</v>
      </c>
    </row>
    <row r="9" spans="1:4" ht="15.75" x14ac:dyDescent="0.25">
      <c r="A9" s="179" t="s">
        <v>376</v>
      </c>
      <c r="D9" s="180" t="s">
        <v>377</v>
      </c>
    </row>
    <row r="10" spans="1:4" x14ac:dyDescent="0.2">
      <c r="A10" s="181" t="s">
        <v>378</v>
      </c>
      <c r="B10" s="182">
        <f>'Material Specifications'!B13</f>
        <v>0.25</v>
      </c>
    </row>
    <row r="11" spans="1:4" x14ac:dyDescent="0.2">
      <c r="A11" s="181" t="s">
        <v>379</v>
      </c>
      <c r="B11" s="183">
        <f>'Material Specifications'!B11</f>
        <v>18</v>
      </c>
    </row>
    <row r="12" spans="1:4" x14ac:dyDescent="0.2">
      <c r="A12" s="181" t="s">
        <v>380</v>
      </c>
      <c r="B12" s="184">
        <f>'Material Specifications'!B16</f>
        <v>0</v>
      </c>
      <c r="C12" s="185" t="s">
        <v>381</v>
      </c>
      <c r="D12" s="186">
        <f>B12*0.75</f>
        <v>0</v>
      </c>
    </row>
    <row r="14" spans="1:4" ht="15.75" x14ac:dyDescent="0.25">
      <c r="A14" s="179" t="s">
        <v>382</v>
      </c>
      <c r="C14" s="187" t="s">
        <v>383</v>
      </c>
      <c r="D14" s="188"/>
    </row>
    <row r="15" spans="1:4" x14ac:dyDescent="0.2">
      <c r="A15" s="181" t="s">
        <v>384</v>
      </c>
      <c r="B15" s="183">
        <v>0.38</v>
      </c>
      <c r="C15" s="189" t="s">
        <v>385</v>
      </c>
      <c r="D15" s="188">
        <f>ATAN(B15/12)/PI()*180</f>
        <v>1.8137602471258896</v>
      </c>
    </row>
    <row r="16" spans="1:4" x14ac:dyDescent="0.2">
      <c r="A16" s="181" t="s">
        <v>386</v>
      </c>
      <c r="B16" s="183">
        <v>0.06</v>
      </c>
      <c r="C16" s="189" t="s">
        <v>387</v>
      </c>
      <c r="D16" s="188">
        <f>B10/TAN(RADIANS(D15))</f>
        <v>7.8947368421052628</v>
      </c>
    </row>
    <row r="17" spans="1:7" x14ac:dyDescent="0.2">
      <c r="A17" s="181" t="s">
        <v>388</v>
      </c>
      <c r="B17" s="183">
        <v>0.75</v>
      </c>
      <c r="C17" s="189" t="s">
        <v>389</v>
      </c>
      <c r="D17" s="188">
        <f>(B10*D16)</f>
        <v>1.9736842105263157</v>
      </c>
    </row>
    <row r="18" spans="1:7" x14ac:dyDescent="0.2">
      <c r="A18" s="181" t="s">
        <v>390</v>
      </c>
      <c r="B18" s="183">
        <v>0.38</v>
      </c>
      <c r="C18" s="190"/>
      <c r="D18" s="188"/>
    </row>
    <row r="19" spans="1:7" x14ac:dyDescent="0.2">
      <c r="A19" s="181"/>
      <c r="B19" s="191"/>
    </row>
    <row r="20" spans="1:7" ht="15.75" x14ac:dyDescent="0.25">
      <c r="A20" s="179" t="s">
        <v>391</v>
      </c>
      <c r="C20" s="189"/>
      <c r="D20" s="188"/>
    </row>
    <row r="21" spans="1:7" x14ac:dyDescent="0.2">
      <c r="A21" s="181" t="s">
        <v>392</v>
      </c>
      <c r="B21" s="183">
        <v>6</v>
      </c>
      <c r="C21" s="189" t="s">
        <v>393</v>
      </c>
      <c r="D21" s="188">
        <f>B11/2*(RADIANS(D15))+B10+B16</f>
        <v>0.59490479338719515</v>
      </c>
      <c r="F21" s="181"/>
      <c r="G21" s="181"/>
    </row>
    <row r="22" spans="1:7" x14ac:dyDescent="0.2">
      <c r="A22" s="181" t="s">
        <v>394</v>
      </c>
      <c r="B22" s="183">
        <v>2.5</v>
      </c>
      <c r="C22" s="189" t="s">
        <v>395</v>
      </c>
      <c r="D22" s="188">
        <f>D21+B17</f>
        <v>1.3449047933871952</v>
      </c>
      <c r="F22" s="181"/>
      <c r="G22" s="181"/>
    </row>
    <row r="23" spans="1:7" x14ac:dyDescent="0.2">
      <c r="A23" s="181" t="s">
        <v>396</v>
      </c>
      <c r="B23" s="183">
        <v>2</v>
      </c>
      <c r="C23" s="189" t="s">
        <v>397</v>
      </c>
      <c r="D23" s="174">
        <f>B23-((B11/2)*TAN(RADIANS(D15))+B16)</f>
        <v>1.655</v>
      </c>
      <c r="F23" s="181"/>
      <c r="G23" s="181"/>
    </row>
    <row r="24" spans="1:7" ht="15.75" x14ac:dyDescent="0.25">
      <c r="E24" s="181"/>
      <c r="F24" s="192"/>
      <c r="G24" s="192"/>
    </row>
    <row r="25" spans="1:7" ht="15.75" x14ac:dyDescent="0.25">
      <c r="A25" s="179" t="s">
        <v>398</v>
      </c>
      <c r="E25" s="192"/>
      <c r="F25" s="192"/>
      <c r="G25" s="192"/>
    </row>
    <row r="26" spans="1:7" ht="15.75" x14ac:dyDescent="0.25">
      <c r="A26" s="181" t="s">
        <v>399</v>
      </c>
      <c r="B26" s="183">
        <v>2000</v>
      </c>
      <c r="C26" s="189" t="s">
        <v>400</v>
      </c>
      <c r="D26" s="188">
        <f>(((B21/2)^2)*PI()-((B22/2)^2)*PI())</f>
        <v>23.365595361074085</v>
      </c>
      <c r="E26" s="192"/>
      <c r="F26" s="192"/>
      <c r="G26" s="192"/>
    </row>
    <row r="27" spans="1:7" ht="15.75" x14ac:dyDescent="0.25">
      <c r="C27" s="189" t="s">
        <v>401</v>
      </c>
      <c r="D27" s="188">
        <f>D26*B23</f>
        <v>46.73119072214817</v>
      </c>
      <c r="E27" s="192"/>
      <c r="F27" s="192"/>
      <c r="G27" s="192"/>
    </row>
    <row r="28" spans="1:7" s="193" customFormat="1" ht="15.75" x14ac:dyDescent="0.25">
      <c r="B28" s="194"/>
      <c r="C28" s="189" t="s">
        <v>402</v>
      </c>
      <c r="D28" s="188">
        <f>B42/(3.117*D26)</f>
        <v>0.33332083380206579</v>
      </c>
      <c r="E28" s="192"/>
      <c r="F28" s="192"/>
      <c r="G28" s="192"/>
    </row>
    <row r="29" spans="1:7" ht="15.75" x14ac:dyDescent="0.25">
      <c r="A29" s="179" t="s">
        <v>403</v>
      </c>
    </row>
    <row r="30" spans="1:7" x14ac:dyDescent="0.2">
      <c r="A30" s="181" t="s">
        <v>417</v>
      </c>
      <c r="B30" s="183">
        <v>0.5</v>
      </c>
    </row>
    <row r="31" spans="1:7" x14ac:dyDescent="0.2">
      <c r="A31" s="181" t="s">
        <v>405</v>
      </c>
      <c r="B31" s="183">
        <v>1</v>
      </c>
    </row>
    <row r="34" spans="1:5" ht="15.75" x14ac:dyDescent="0.25">
      <c r="E34" s="192"/>
    </row>
    <row r="35" spans="1:5" ht="15.75" x14ac:dyDescent="0.25">
      <c r="A35" s="195" t="s">
        <v>406</v>
      </c>
      <c r="E35" s="192"/>
    </row>
    <row r="36" spans="1:5" ht="15.75" x14ac:dyDescent="0.25">
      <c r="E36" s="192"/>
    </row>
    <row r="37" spans="1:5" ht="15.75" x14ac:dyDescent="0.25">
      <c r="A37" s="192" t="s">
        <v>418</v>
      </c>
      <c r="B37" s="196">
        <f>(((B21/2)^2)*PI()-((B22/2)^2)*PI())*B26/2</f>
        <v>23365.595361074083</v>
      </c>
      <c r="E37" s="192"/>
    </row>
    <row r="38" spans="1:5" ht="15.75" x14ac:dyDescent="0.25">
      <c r="A38" s="192" t="s">
        <v>408</v>
      </c>
      <c r="B38" s="196">
        <f>B37*2</f>
        <v>46731.190722148167</v>
      </c>
      <c r="E38" s="192"/>
    </row>
    <row r="39" spans="1:5" ht="15.75" x14ac:dyDescent="0.25">
      <c r="A39" s="192" t="s">
        <v>409</v>
      </c>
      <c r="B39" s="196">
        <f>D17*D12*(1-B18)</f>
        <v>0</v>
      </c>
      <c r="C39" s="192"/>
      <c r="D39" s="171"/>
    </row>
    <row r="40" spans="1:5" ht="15.75" x14ac:dyDescent="0.25">
      <c r="A40" s="192" t="s">
        <v>410</v>
      </c>
      <c r="B40" s="192">
        <f>B38*0.0005</f>
        <v>23.365595361074085</v>
      </c>
    </row>
    <row r="41" spans="1:5" ht="15.75" x14ac:dyDescent="0.25">
      <c r="A41" s="192" t="s">
        <v>411</v>
      </c>
      <c r="B41" s="196" t="e">
        <f>B38/B39</f>
        <v>#DIV/0!</v>
      </c>
    </row>
    <row r="42" spans="1:5" ht="15.75" x14ac:dyDescent="0.25">
      <c r="A42" s="192" t="s">
        <v>412</v>
      </c>
      <c r="B42" s="196">
        <f>((D27/231)*60)/B30</f>
        <v>24.275943232284764</v>
      </c>
    </row>
    <row r="43" spans="1:5" ht="15.75" x14ac:dyDescent="0.25">
      <c r="A43" s="192" t="s">
        <v>413</v>
      </c>
      <c r="B43" s="196">
        <f>B42*B45/B44</f>
        <v>12.137971616142382</v>
      </c>
    </row>
    <row r="44" spans="1:5" ht="15.75" x14ac:dyDescent="0.25">
      <c r="A44" s="192" t="s">
        <v>414</v>
      </c>
      <c r="B44" s="197">
        <f>(1/(B30*2))*60</f>
        <v>60</v>
      </c>
    </row>
    <row r="45" spans="1:5" ht="15.75" x14ac:dyDescent="0.25">
      <c r="A45" s="192" t="s">
        <v>415</v>
      </c>
      <c r="B45" s="197">
        <f>1/(B30*2+B31)*60</f>
        <v>30</v>
      </c>
    </row>
    <row r="46" spans="1:5" ht="15.75" x14ac:dyDescent="0.25">
      <c r="A46" s="192" t="s">
        <v>416</v>
      </c>
      <c r="B46" s="198">
        <f>B45*60</f>
        <v>1800</v>
      </c>
    </row>
    <row r="48" spans="1:5" ht="15.75" x14ac:dyDescent="0.25">
      <c r="A48" s="199" t="s">
        <v>419</v>
      </c>
    </row>
    <row r="49" spans="1:1" x14ac:dyDescent="0.2">
      <c r="A49" s="174" t="s">
        <v>420</v>
      </c>
    </row>
    <row r="50" spans="1:1" x14ac:dyDescent="0.2">
      <c r="A50" s="171" t="s">
        <v>421</v>
      </c>
    </row>
    <row r="51" spans="1:1" x14ac:dyDescent="0.2">
      <c r="A51" s="171" t="s">
        <v>422</v>
      </c>
    </row>
    <row r="52" spans="1:1" x14ac:dyDescent="0.2">
      <c r="A52" s="171" t="s">
        <v>423</v>
      </c>
    </row>
    <row r="53" spans="1:1" x14ac:dyDescent="0.2">
      <c r="A53" s="171" t="s">
        <v>424</v>
      </c>
    </row>
    <row r="54" spans="1:1" x14ac:dyDescent="0.2">
      <c r="A54" s="171" t="s">
        <v>425</v>
      </c>
    </row>
    <row r="58" spans="1:1" x14ac:dyDescent="0.2">
      <c r="A58" s="174" t="s">
        <v>426</v>
      </c>
    </row>
    <row r="59" spans="1:1" x14ac:dyDescent="0.2">
      <c r="A59" s="171" t="s">
        <v>427</v>
      </c>
    </row>
    <row r="60" spans="1:1" x14ac:dyDescent="0.2">
      <c r="A60" s="171" t="s">
        <v>428</v>
      </c>
    </row>
    <row r="61" spans="1:1" x14ac:dyDescent="0.2">
      <c r="A61" s="171" t="s">
        <v>429</v>
      </c>
    </row>
    <row r="62" spans="1:1" x14ac:dyDescent="0.2">
      <c r="A62" s="171" t="s">
        <v>430</v>
      </c>
    </row>
    <row r="63" spans="1:1" x14ac:dyDescent="0.2">
      <c r="A63" s="171" t="s">
        <v>431</v>
      </c>
    </row>
  </sheetData>
  <mergeCells count="3">
    <mergeCell ref="B2:C2"/>
    <mergeCell ref="B3:C3"/>
    <mergeCell ref="B4:C4"/>
  </mergeCells>
  <conditionalFormatting sqref="B41">
    <cfRule type="cellIs" dxfId="16" priority="1" stopIfTrue="1" operator="lessThan">
      <formula>1</formula>
    </cfRule>
  </conditionalFormatting>
  <conditionalFormatting sqref="B38">
    <cfRule type="cellIs" dxfId="15" priority="2" stopIfTrue="1" operator="lessThan">
      <formula>$B$39</formula>
    </cfRule>
  </conditionalFormatting>
  <conditionalFormatting sqref="E24 F23:G23">
    <cfRule type="cellIs" dxfId="14" priority="3" stopIfTrue="1" operator="lessThan">
      <formula>#REF!</formula>
    </cfRule>
  </conditionalFormatting>
  <printOptions horizontalCentered="1"/>
  <pageMargins left="0.75" right="0.75" top="0.9" bottom="1" header="0.44" footer="0.5"/>
  <pageSetup scale="69" orientation="portrait" horizontalDpi="4294967292" r:id="rId1"/>
  <headerFooter alignWithMargins="0">
    <oddHeader>&amp;C&amp;"Arial,Bold"&amp;16Hydraulic Production 
Shear Calculation&amp;14
&amp;11(Bowtie  Blade)</oddHeader>
    <oddFooter>&amp;C&amp;8&amp;F  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Tbl_Contents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2057400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97F37-32E3-4104-A33D-CC7A15782C37}">
  <sheetPr codeName="Sheet23">
    <tabColor theme="1"/>
    <pageSetUpPr fitToPage="1"/>
  </sheetPr>
  <dimension ref="A1:G63"/>
  <sheetViews>
    <sheetView zoomScale="70" zoomScaleNormal="70" workbookViewId="0">
      <selection activeCell="B2" sqref="B2:C2"/>
    </sheetView>
  </sheetViews>
  <sheetFormatPr defaultRowHeight="15" x14ac:dyDescent="0.2"/>
  <cols>
    <col min="1" max="1" width="53" style="171" customWidth="1"/>
    <col min="2" max="2" width="19" style="172" customWidth="1"/>
    <col min="3" max="3" width="43.7109375" style="170" bestFit="1" customWidth="1"/>
    <col min="4" max="4" width="18.28515625" style="178" customWidth="1"/>
    <col min="5" max="256" width="9.140625" style="170"/>
    <col min="257" max="257" width="53" style="170" customWidth="1"/>
    <col min="258" max="258" width="19" style="170" customWidth="1"/>
    <col min="259" max="259" width="43.7109375" style="170" bestFit="1" customWidth="1"/>
    <col min="260" max="260" width="18.28515625" style="170" customWidth="1"/>
    <col min="261" max="512" width="9.140625" style="170"/>
    <col min="513" max="513" width="53" style="170" customWidth="1"/>
    <col min="514" max="514" width="19" style="170" customWidth="1"/>
    <col min="515" max="515" width="43.7109375" style="170" bestFit="1" customWidth="1"/>
    <col min="516" max="516" width="18.28515625" style="170" customWidth="1"/>
    <col min="517" max="768" width="9.140625" style="170"/>
    <col min="769" max="769" width="53" style="170" customWidth="1"/>
    <col min="770" max="770" width="19" style="170" customWidth="1"/>
    <col min="771" max="771" width="43.7109375" style="170" bestFit="1" customWidth="1"/>
    <col min="772" max="772" width="18.28515625" style="170" customWidth="1"/>
    <col min="773" max="1024" width="9.140625" style="170"/>
    <col min="1025" max="1025" width="53" style="170" customWidth="1"/>
    <col min="1026" max="1026" width="19" style="170" customWidth="1"/>
    <col min="1027" max="1027" width="43.7109375" style="170" bestFit="1" customWidth="1"/>
    <col min="1028" max="1028" width="18.28515625" style="170" customWidth="1"/>
    <col min="1029" max="1280" width="9.140625" style="170"/>
    <col min="1281" max="1281" width="53" style="170" customWidth="1"/>
    <col min="1282" max="1282" width="19" style="170" customWidth="1"/>
    <col min="1283" max="1283" width="43.7109375" style="170" bestFit="1" customWidth="1"/>
    <col min="1284" max="1284" width="18.28515625" style="170" customWidth="1"/>
    <col min="1285" max="1536" width="9.140625" style="170"/>
    <col min="1537" max="1537" width="53" style="170" customWidth="1"/>
    <col min="1538" max="1538" width="19" style="170" customWidth="1"/>
    <col min="1539" max="1539" width="43.7109375" style="170" bestFit="1" customWidth="1"/>
    <col min="1540" max="1540" width="18.28515625" style="170" customWidth="1"/>
    <col min="1541" max="1792" width="9.140625" style="170"/>
    <col min="1793" max="1793" width="53" style="170" customWidth="1"/>
    <col min="1794" max="1794" width="19" style="170" customWidth="1"/>
    <col min="1795" max="1795" width="43.7109375" style="170" bestFit="1" customWidth="1"/>
    <col min="1796" max="1796" width="18.28515625" style="170" customWidth="1"/>
    <col min="1797" max="2048" width="9.140625" style="170"/>
    <col min="2049" max="2049" width="53" style="170" customWidth="1"/>
    <col min="2050" max="2050" width="19" style="170" customWidth="1"/>
    <col min="2051" max="2051" width="43.7109375" style="170" bestFit="1" customWidth="1"/>
    <col min="2052" max="2052" width="18.28515625" style="170" customWidth="1"/>
    <col min="2053" max="2304" width="9.140625" style="170"/>
    <col min="2305" max="2305" width="53" style="170" customWidth="1"/>
    <col min="2306" max="2306" width="19" style="170" customWidth="1"/>
    <col min="2307" max="2307" width="43.7109375" style="170" bestFit="1" customWidth="1"/>
    <col min="2308" max="2308" width="18.28515625" style="170" customWidth="1"/>
    <col min="2309" max="2560" width="9.140625" style="170"/>
    <col min="2561" max="2561" width="53" style="170" customWidth="1"/>
    <col min="2562" max="2562" width="19" style="170" customWidth="1"/>
    <col min="2563" max="2563" width="43.7109375" style="170" bestFit="1" customWidth="1"/>
    <col min="2564" max="2564" width="18.28515625" style="170" customWidth="1"/>
    <col min="2565" max="2816" width="9.140625" style="170"/>
    <col min="2817" max="2817" width="53" style="170" customWidth="1"/>
    <col min="2818" max="2818" width="19" style="170" customWidth="1"/>
    <col min="2819" max="2819" width="43.7109375" style="170" bestFit="1" customWidth="1"/>
    <col min="2820" max="2820" width="18.28515625" style="170" customWidth="1"/>
    <col min="2821" max="3072" width="9.140625" style="170"/>
    <col min="3073" max="3073" width="53" style="170" customWidth="1"/>
    <col min="3074" max="3074" width="19" style="170" customWidth="1"/>
    <col min="3075" max="3075" width="43.7109375" style="170" bestFit="1" customWidth="1"/>
    <col min="3076" max="3076" width="18.28515625" style="170" customWidth="1"/>
    <col min="3077" max="3328" width="9.140625" style="170"/>
    <col min="3329" max="3329" width="53" style="170" customWidth="1"/>
    <col min="3330" max="3330" width="19" style="170" customWidth="1"/>
    <col min="3331" max="3331" width="43.7109375" style="170" bestFit="1" customWidth="1"/>
    <col min="3332" max="3332" width="18.28515625" style="170" customWidth="1"/>
    <col min="3333" max="3584" width="9.140625" style="170"/>
    <col min="3585" max="3585" width="53" style="170" customWidth="1"/>
    <col min="3586" max="3586" width="19" style="170" customWidth="1"/>
    <col min="3587" max="3587" width="43.7109375" style="170" bestFit="1" customWidth="1"/>
    <col min="3588" max="3588" width="18.28515625" style="170" customWidth="1"/>
    <col min="3589" max="3840" width="9.140625" style="170"/>
    <col min="3841" max="3841" width="53" style="170" customWidth="1"/>
    <col min="3842" max="3842" width="19" style="170" customWidth="1"/>
    <col min="3843" max="3843" width="43.7109375" style="170" bestFit="1" customWidth="1"/>
    <col min="3844" max="3844" width="18.28515625" style="170" customWidth="1"/>
    <col min="3845" max="4096" width="9.140625" style="170"/>
    <col min="4097" max="4097" width="53" style="170" customWidth="1"/>
    <col min="4098" max="4098" width="19" style="170" customWidth="1"/>
    <col min="4099" max="4099" width="43.7109375" style="170" bestFit="1" customWidth="1"/>
    <col min="4100" max="4100" width="18.28515625" style="170" customWidth="1"/>
    <col min="4101" max="4352" width="9.140625" style="170"/>
    <col min="4353" max="4353" width="53" style="170" customWidth="1"/>
    <col min="4354" max="4354" width="19" style="170" customWidth="1"/>
    <col min="4355" max="4355" width="43.7109375" style="170" bestFit="1" customWidth="1"/>
    <col min="4356" max="4356" width="18.28515625" style="170" customWidth="1"/>
    <col min="4357" max="4608" width="9.140625" style="170"/>
    <col min="4609" max="4609" width="53" style="170" customWidth="1"/>
    <col min="4610" max="4610" width="19" style="170" customWidth="1"/>
    <col min="4611" max="4611" width="43.7109375" style="170" bestFit="1" customWidth="1"/>
    <col min="4612" max="4612" width="18.28515625" style="170" customWidth="1"/>
    <col min="4613" max="4864" width="9.140625" style="170"/>
    <col min="4865" max="4865" width="53" style="170" customWidth="1"/>
    <col min="4866" max="4866" width="19" style="170" customWidth="1"/>
    <col min="4867" max="4867" width="43.7109375" style="170" bestFit="1" customWidth="1"/>
    <col min="4868" max="4868" width="18.28515625" style="170" customWidth="1"/>
    <col min="4869" max="5120" width="9.140625" style="170"/>
    <col min="5121" max="5121" width="53" style="170" customWidth="1"/>
    <col min="5122" max="5122" width="19" style="170" customWidth="1"/>
    <col min="5123" max="5123" width="43.7109375" style="170" bestFit="1" customWidth="1"/>
    <col min="5124" max="5124" width="18.28515625" style="170" customWidth="1"/>
    <col min="5125" max="5376" width="9.140625" style="170"/>
    <col min="5377" max="5377" width="53" style="170" customWidth="1"/>
    <col min="5378" max="5378" width="19" style="170" customWidth="1"/>
    <col min="5379" max="5379" width="43.7109375" style="170" bestFit="1" customWidth="1"/>
    <col min="5380" max="5380" width="18.28515625" style="170" customWidth="1"/>
    <col min="5381" max="5632" width="9.140625" style="170"/>
    <col min="5633" max="5633" width="53" style="170" customWidth="1"/>
    <col min="5634" max="5634" width="19" style="170" customWidth="1"/>
    <col min="5635" max="5635" width="43.7109375" style="170" bestFit="1" customWidth="1"/>
    <col min="5636" max="5636" width="18.28515625" style="170" customWidth="1"/>
    <col min="5637" max="5888" width="9.140625" style="170"/>
    <col min="5889" max="5889" width="53" style="170" customWidth="1"/>
    <col min="5890" max="5890" width="19" style="170" customWidth="1"/>
    <col min="5891" max="5891" width="43.7109375" style="170" bestFit="1" customWidth="1"/>
    <col min="5892" max="5892" width="18.28515625" style="170" customWidth="1"/>
    <col min="5893" max="6144" width="9.140625" style="170"/>
    <col min="6145" max="6145" width="53" style="170" customWidth="1"/>
    <col min="6146" max="6146" width="19" style="170" customWidth="1"/>
    <col min="6147" max="6147" width="43.7109375" style="170" bestFit="1" customWidth="1"/>
    <col min="6148" max="6148" width="18.28515625" style="170" customWidth="1"/>
    <col min="6149" max="6400" width="9.140625" style="170"/>
    <col min="6401" max="6401" width="53" style="170" customWidth="1"/>
    <col min="6402" max="6402" width="19" style="170" customWidth="1"/>
    <col min="6403" max="6403" width="43.7109375" style="170" bestFit="1" customWidth="1"/>
    <col min="6404" max="6404" width="18.28515625" style="170" customWidth="1"/>
    <col min="6405" max="6656" width="9.140625" style="170"/>
    <col min="6657" max="6657" width="53" style="170" customWidth="1"/>
    <col min="6658" max="6658" width="19" style="170" customWidth="1"/>
    <col min="6659" max="6659" width="43.7109375" style="170" bestFit="1" customWidth="1"/>
    <col min="6660" max="6660" width="18.28515625" style="170" customWidth="1"/>
    <col min="6661" max="6912" width="9.140625" style="170"/>
    <col min="6913" max="6913" width="53" style="170" customWidth="1"/>
    <col min="6914" max="6914" width="19" style="170" customWidth="1"/>
    <col min="6915" max="6915" width="43.7109375" style="170" bestFit="1" customWidth="1"/>
    <col min="6916" max="6916" width="18.28515625" style="170" customWidth="1"/>
    <col min="6917" max="7168" width="9.140625" style="170"/>
    <col min="7169" max="7169" width="53" style="170" customWidth="1"/>
    <col min="7170" max="7170" width="19" style="170" customWidth="1"/>
    <col min="7171" max="7171" width="43.7109375" style="170" bestFit="1" customWidth="1"/>
    <col min="7172" max="7172" width="18.28515625" style="170" customWidth="1"/>
    <col min="7173" max="7424" width="9.140625" style="170"/>
    <col min="7425" max="7425" width="53" style="170" customWidth="1"/>
    <col min="7426" max="7426" width="19" style="170" customWidth="1"/>
    <col min="7427" max="7427" width="43.7109375" style="170" bestFit="1" customWidth="1"/>
    <col min="7428" max="7428" width="18.28515625" style="170" customWidth="1"/>
    <col min="7429" max="7680" width="9.140625" style="170"/>
    <col min="7681" max="7681" width="53" style="170" customWidth="1"/>
    <col min="7682" max="7682" width="19" style="170" customWidth="1"/>
    <col min="7683" max="7683" width="43.7109375" style="170" bestFit="1" customWidth="1"/>
    <col min="7684" max="7684" width="18.28515625" style="170" customWidth="1"/>
    <col min="7685" max="7936" width="9.140625" style="170"/>
    <col min="7937" max="7937" width="53" style="170" customWidth="1"/>
    <col min="7938" max="7938" width="19" style="170" customWidth="1"/>
    <col min="7939" max="7939" width="43.7109375" style="170" bestFit="1" customWidth="1"/>
    <col min="7940" max="7940" width="18.28515625" style="170" customWidth="1"/>
    <col min="7941" max="8192" width="9.140625" style="170"/>
    <col min="8193" max="8193" width="53" style="170" customWidth="1"/>
    <col min="8194" max="8194" width="19" style="170" customWidth="1"/>
    <col min="8195" max="8195" width="43.7109375" style="170" bestFit="1" customWidth="1"/>
    <col min="8196" max="8196" width="18.28515625" style="170" customWidth="1"/>
    <col min="8197" max="8448" width="9.140625" style="170"/>
    <col min="8449" max="8449" width="53" style="170" customWidth="1"/>
    <col min="8450" max="8450" width="19" style="170" customWidth="1"/>
    <col min="8451" max="8451" width="43.7109375" style="170" bestFit="1" customWidth="1"/>
    <col min="8452" max="8452" width="18.28515625" style="170" customWidth="1"/>
    <col min="8453" max="8704" width="9.140625" style="170"/>
    <col min="8705" max="8705" width="53" style="170" customWidth="1"/>
    <col min="8706" max="8706" width="19" style="170" customWidth="1"/>
    <col min="8707" max="8707" width="43.7109375" style="170" bestFit="1" customWidth="1"/>
    <col min="8708" max="8708" width="18.28515625" style="170" customWidth="1"/>
    <col min="8709" max="8960" width="9.140625" style="170"/>
    <col min="8961" max="8961" width="53" style="170" customWidth="1"/>
    <col min="8962" max="8962" width="19" style="170" customWidth="1"/>
    <col min="8963" max="8963" width="43.7109375" style="170" bestFit="1" customWidth="1"/>
    <col min="8964" max="8964" width="18.28515625" style="170" customWidth="1"/>
    <col min="8965" max="9216" width="9.140625" style="170"/>
    <col min="9217" max="9217" width="53" style="170" customWidth="1"/>
    <col min="9218" max="9218" width="19" style="170" customWidth="1"/>
    <col min="9219" max="9219" width="43.7109375" style="170" bestFit="1" customWidth="1"/>
    <col min="9220" max="9220" width="18.28515625" style="170" customWidth="1"/>
    <col min="9221" max="9472" width="9.140625" style="170"/>
    <col min="9473" max="9473" width="53" style="170" customWidth="1"/>
    <col min="9474" max="9474" width="19" style="170" customWidth="1"/>
    <col min="9475" max="9475" width="43.7109375" style="170" bestFit="1" customWidth="1"/>
    <col min="9476" max="9476" width="18.28515625" style="170" customWidth="1"/>
    <col min="9477" max="9728" width="9.140625" style="170"/>
    <col min="9729" max="9729" width="53" style="170" customWidth="1"/>
    <col min="9730" max="9730" width="19" style="170" customWidth="1"/>
    <col min="9731" max="9731" width="43.7109375" style="170" bestFit="1" customWidth="1"/>
    <col min="9732" max="9732" width="18.28515625" style="170" customWidth="1"/>
    <col min="9733" max="9984" width="9.140625" style="170"/>
    <col min="9985" max="9985" width="53" style="170" customWidth="1"/>
    <col min="9986" max="9986" width="19" style="170" customWidth="1"/>
    <col min="9987" max="9987" width="43.7109375" style="170" bestFit="1" customWidth="1"/>
    <col min="9988" max="9988" width="18.28515625" style="170" customWidth="1"/>
    <col min="9989" max="10240" width="9.140625" style="170"/>
    <col min="10241" max="10241" width="53" style="170" customWidth="1"/>
    <col min="10242" max="10242" width="19" style="170" customWidth="1"/>
    <col min="10243" max="10243" width="43.7109375" style="170" bestFit="1" customWidth="1"/>
    <col min="10244" max="10244" width="18.28515625" style="170" customWidth="1"/>
    <col min="10245" max="10496" width="9.140625" style="170"/>
    <col min="10497" max="10497" width="53" style="170" customWidth="1"/>
    <col min="10498" max="10498" width="19" style="170" customWidth="1"/>
    <col min="10499" max="10499" width="43.7109375" style="170" bestFit="1" customWidth="1"/>
    <col min="10500" max="10500" width="18.28515625" style="170" customWidth="1"/>
    <col min="10501" max="10752" width="9.140625" style="170"/>
    <col min="10753" max="10753" width="53" style="170" customWidth="1"/>
    <col min="10754" max="10754" width="19" style="170" customWidth="1"/>
    <col min="10755" max="10755" width="43.7109375" style="170" bestFit="1" customWidth="1"/>
    <col min="10756" max="10756" width="18.28515625" style="170" customWidth="1"/>
    <col min="10757" max="11008" width="9.140625" style="170"/>
    <col min="11009" max="11009" width="53" style="170" customWidth="1"/>
    <col min="11010" max="11010" width="19" style="170" customWidth="1"/>
    <col min="11011" max="11011" width="43.7109375" style="170" bestFit="1" customWidth="1"/>
    <col min="11012" max="11012" width="18.28515625" style="170" customWidth="1"/>
    <col min="11013" max="11264" width="9.140625" style="170"/>
    <col min="11265" max="11265" width="53" style="170" customWidth="1"/>
    <col min="11266" max="11266" width="19" style="170" customWidth="1"/>
    <col min="11267" max="11267" width="43.7109375" style="170" bestFit="1" customWidth="1"/>
    <col min="11268" max="11268" width="18.28515625" style="170" customWidth="1"/>
    <col min="11269" max="11520" width="9.140625" style="170"/>
    <col min="11521" max="11521" width="53" style="170" customWidth="1"/>
    <col min="11522" max="11522" width="19" style="170" customWidth="1"/>
    <col min="11523" max="11523" width="43.7109375" style="170" bestFit="1" customWidth="1"/>
    <col min="11524" max="11524" width="18.28515625" style="170" customWidth="1"/>
    <col min="11525" max="11776" width="9.140625" style="170"/>
    <col min="11777" max="11777" width="53" style="170" customWidth="1"/>
    <col min="11778" max="11778" width="19" style="170" customWidth="1"/>
    <col min="11779" max="11779" width="43.7109375" style="170" bestFit="1" customWidth="1"/>
    <col min="11780" max="11780" width="18.28515625" style="170" customWidth="1"/>
    <col min="11781" max="12032" width="9.140625" style="170"/>
    <col min="12033" max="12033" width="53" style="170" customWidth="1"/>
    <col min="12034" max="12034" width="19" style="170" customWidth="1"/>
    <col min="12035" max="12035" width="43.7109375" style="170" bestFit="1" customWidth="1"/>
    <col min="12036" max="12036" width="18.28515625" style="170" customWidth="1"/>
    <col min="12037" max="12288" width="9.140625" style="170"/>
    <col min="12289" max="12289" width="53" style="170" customWidth="1"/>
    <col min="12290" max="12290" width="19" style="170" customWidth="1"/>
    <col min="12291" max="12291" width="43.7109375" style="170" bestFit="1" customWidth="1"/>
    <col min="12292" max="12292" width="18.28515625" style="170" customWidth="1"/>
    <col min="12293" max="12544" width="9.140625" style="170"/>
    <col min="12545" max="12545" width="53" style="170" customWidth="1"/>
    <col min="12546" max="12546" width="19" style="170" customWidth="1"/>
    <col min="12547" max="12547" width="43.7109375" style="170" bestFit="1" customWidth="1"/>
    <col min="12548" max="12548" width="18.28515625" style="170" customWidth="1"/>
    <col min="12549" max="12800" width="9.140625" style="170"/>
    <col min="12801" max="12801" width="53" style="170" customWidth="1"/>
    <col min="12802" max="12802" width="19" style="170" customWidth="1"/>
    <col min="12803" max="12803" width="43.7109375" style="170" bestFit="1" customWidth="1"/>
    <col min="12804" max="12804" width="18.28515625" style="170" customWidth="1"/>
    <col min="12805" max="13056" width="9.140625" style="170"/>
    <col min="13057" max="13057" width="53" style="170" customWidth="1"/>
    <col min="13058" max="13058" width="19" style="170" customWidth="1"/>
    <col min="13059" max="13059" width="43.7109375" style="170" bestFit="1" customWidth="1"/>
    <col min="13060" max="13060" width="18.28515625" style="170" customWidth="1"/>
    <col min="13061" max="13312" width="9.140625" style="170"/>
    <col min="13313" max="13313" width="53" style="170" customWidth="1"/>
    <col min="13314" max="13314" width="19" style="170" customWidth="1"/>
    <col min="13315" max="13315" width="43.7109375" style="170" bestFit="1" customWidth="1"/>
    <col min="13316" max="13316" width="18.28515625" style="170" customWidth="1"/>
    <col min="13317" max="13568" width="9.140625" style="170"/>
    <col min="13569" max="13569" width="53" style="170" customWidth="1"/>
    <col min="13570" max="13570" width="19" style="170" customWidth="1"/>
    <col min="13571" max="13571" width="43.7109375" style="170" bestFit="1" customWidth="1"/>
    <col min="13572" max="13572" width="18.28515625" style="170" customWidth="1"/>
    <col min="13573" max="13824" width="9.140625" style="170"/>
    <col min="13825" max="13825" width="53" style="170" customWidth="1"/>
    <col min="13826" max="13826" width="19" style="170" customWidth="1"/>
    <col min="13827" max="13827" width="43.7109375" style="170" bestFit="1" customWidth="1"/>
    <col min="13828" max="13828" width="18.28515625" style="170" customWidth="1"/>
    <col min="13829" max="14080" width="9.140625" style="170"/>
    <col min="14081" max="14081" width="53" style="170" customWidth="1"/>
    <col min="14082" max="14082" width="19" style="170" customWidth="1"/>
    <col min="14083" max="14083" width="43.7109375" style="170" bestFit="1" customWidth="1"/>
    <col min="14084" max="14084" width="18.28515625" style="170" customWidth="1"/>
    <col min="14085" max="14336" width="9.140625" style="170"/>
    <col min="14337" max="14337" width="53" style="170" customWidth="1"/>
    <col min="14338" max="14338" width="19" style="170" customWidth="1"/>
    <col min="14339" max="14339" width="43.7109375" style="170" bestFit="1" customWidth="1"/>
    <col min="14340" max="14340" width="18.28515625" style="170" customWidth="1"/>
    <col min="14341" max="14592" width="9.140625" style="170"/>
    <col min="14593" max="14593" width="53" style="170" customWidth="1"/>
    <col min="14594" max="14594" width="19" style="170" customWidth="1"/>
    <col min="14595" max="14595" width="43.7109375" style="170" bestFit="1" customWidth="1"/>
    <col min="14596" max="14596" width="18.28515625" style="170" customWidth="1"/>
    <col min="14597" max="14848" width="9.140625" style="170"/>
    <col min="14849" max="14849" width="53" style="170" customWidth="1"/>
    <col min="14850" max="14850" width="19" style="170" customWidth="1"/>
    <col min="14851" max="14851" width="43.7109375" style="170" bestFit="1" customWidth="1"/>
    <col min="14852" max="14852" width="18.28515625" style="170" customWidth="1"/>
    <col min="14853" max="15104" width="9.140625" style="170"/>
    <col min="15105" max="15105" width="53" style="170" customWidth="1"/>
    <col min="15106" max="15106" width="19" style="170" customWidth="1"/>
    <col min="15107" max="15107" width="43.7109375" style="170" bestFit="1" customWidth="1"/>
    <col min="15108" max="15108" width="18.28515625" style="170" customWidth="1"/>
    <col min="15109" max="15360" width="9.140625" style="170"/>
    <col min="15361" max="15361" width="53" style="170" customWidth="1"/>
    <col min="15362" max="15362" width="19" style="170" customWidth="1"/>
    <col min="15363" max="15363" width="43.7109375" style="170" bestFit="1" customWidth="1"/>
    <col min="15364" max="15364" width="18.28515625" style="170" customWidth="1"/>
    <col min="15365" max="15616" width="9.140625" style="170"/>
    <col min="15617" max="15617" width="53" style="170" customWidth="1"/>
    <col min="15618" max="15618" width="19" style="170" customWidth="1"/>
    <col min="15619" max="15619" width="43.7109375" style="170" bestFit="1" customWidth="1"/>
    <col min="15620" max="15620" width="18.28515625" style="170" customWidth="1"/>
    <col min="15621" max="15872" width="9.140625" style="170"/>
    <col min="15873" max="15873" width="53" style="170" customWidth="1"/>
    <col min="15874" max="15874" width="19" style="170" customWidth="1"/>
    <col min="15875" max="15875" width="43.7109375" style="170" bestFit="1" customWidth="1"/>
    <col min="15876" max="15876" width="18.28515625" style="170" customWidth="1"/>
    <col min="15877" max="16128" width="9.140625" style="170"/>
    <col min="16129" max="16129" width="53" style="170" customWidth="1"/>
    <col min="16130" max="16130" width="19" style="170" customWidth="1"/>
    <col min="16131" max="16131" width="43.7109375" style="170" bestFit="1" customWidth="1"/>
    <col min="16132" max="16132" width="18.28515625" style="170" customWidth="1"/>
    <col min="16133" max="16384" width="9.140625" style="170"/>
  </cols>
  <sheetData>
    <row r="1" spans="1:4" ht="57" customHeight="1" x14ac:dyDescent="0.2"/>
    <row r="2" spans="1:4" ht="15.75" x14ac:dyDescent="0.25">
      <c r="A2" s="168" t="s">
        <v>1</v>
      </c>
      <c r="B2" s="1044" t="str">
        <f>'Material Specifications'!B3:C3</f>
        <v>ULTRATECH TOOL&amp; DESIGN, INC.</v>
      </c>
      <c r="C2" s="1047"/>
    </row>
    <row r="3" spans="1:4" ht="15.75" x14ac:dyDescent="0.25">
      <c r="A3" s="168" t="s">
        <v>2</v>
      </c>
      <c r="B3" s="1046">
        <f>'Material Specifications'!B4:C4</f>
        <v>0</v>
      </c>
      <c r="C3" s="1047"/>
    </row>
    <row r="4" spans="1:4" ht="15.75" x14ac:dyDescent="0.25">
      <c r="A4" s="168" t="s">
        <v>131</v>
      </c>
      <c r="B4" s="1044">
        <f>'Material Specifications'!B5:C5</f>
        <v>0</v>
      </c>
      <c r="C4" s="1047"/>
    </row>
    <row r="5" spans="1:4" x14ac:dyDescent="0.2">
      <c r="C5" s="173"/>
      <c r="D5" s="174"/>
    </row>
    <row r="6" spans="1:4" x14ac:dyDescent="0.2">
      <c r="C6" s="173"/>
      <c r="D6" s="175"/>
    </row>
    <row r="7" spans="1:4" ht="15.75" x14ac:dyDescent="0.25">
      <c r="A7" s="199" t="s">
        <v>373</v>
      </c>
      <c r="B7" s="177"/>
      <c r="C7" s="173"/>
      <c r="D7" s="174"/>
    </row>
    <row r="8" spans="1:4" x14ac:dyDescent="0.2">
      <c r="A8" s="170"/>
      <c r="B8" s="177"/>
      <c r="C8" s="171" t="s">
        <v>374</v>
      </c>
      <c r="D8" s="178" t="s">
        <v>375</v>
      </c>
    </row>
    <row r="9" spans="1:4" ht="15.75" x14ac:dyDescent="0.25">
      <c r="A9" s="179" t="s">
        <v>376</v>
      </c>
      <c r="D9" s="180" t="s">
        <v>377</v>
      </c>
    </row>
    <row r="10" spans="1:4" x14ac:dyDescent="0.2">
      <c r="A10" s="181" t="s">
        <v>378</v>
      </c>
      <c r="B10" s="182">
        <f>'Material Specifications'!C13</f>
        <v>0.3</v>
      </c>
    </row>
    <row r="11" spans="1:4" x14ac:dyDescent="0.2">
      <c r="A11" s="181" t="s">
        <v>379</v>
      </c>
      <c r="B11" s="183">
        <f>'Material Specifications'!C11</f>
        <v>16</v>
      </c>
    </row>
    <row r="12" spans="1:4" x14ac:dyDescent="0.2">
      <c r="A12" s="181" t="s">
        <v>380</v>
      </c>
      <c r="B12" s="184">
        <f>'Material Specifications'!C16</f>
        <v>0</v>
      </c>
      <c r="C12" s="185" t="s">
        <v>381</v>
      </c>
      <c r="D12" s="186">
        <f>B12*0.75</f>
        <v>0</v>
      </c>
    </row>
    <row r="14" spans="1:4" ht="15.75" x14ac:dyDescent="0.25">
      <c r="A14" s="179" t="s">
        <v>382</v>
      </c>
      <c r="C14" s="187" t="s">
        <v>383</v>
      </c>
      <c r="D14" s="188"/>
    </row>
    <row r="15" spans="1:4" x14ac:dyDescent="0.2">
      <c r="A15" s="181" t="s">
        <v>384</v>
      </c>
      <c r="B15" s="183">
        <v>0.38</v>
      </c>
      <c r="C15" s="189" t="s">
        <v>385</v>
      </c>
      <c r="D15" s="188">
        <f>ATAN(B15/12)/PI()*180</f>
        <v>1.8137602471258896</v>
      </c>
    </row>
    <row r="16" spans="1:4" x14ac:dyDescent="0.2">
      <c r="A16" s="181" t="s">
        <v>386</v>
      </c>
      <c r="B16" s="183">
        <v>0.06</v>
      </c>
      <c r="C16" s="189" t="s">
        <v>387</v>
      </c>
      <c r="D16" s="188">
        <f>B10/TAN(RADIANS(D15))</f>
        <v>9.473684210526315</v>
      </c>
    </row>
    <row r="17" spans="1:7" x14ac:dyDescent="0.2">
      <c r="A17" s="181" t="s">
        <v>388</v>
      </c>
      <c r="B17" s="183">
        <v>0.75</v>
      </c>
      <c r="C17" s="189" t="s">
        <v>389</v>
      </c>
      <c r="D17" s="188">
        <f>(B10*D16)</f>
        <v>2.8421052631578942</v>
      </c>
    </row>
    <row r="18" spans="1:7" x14ac:dyDescent="0.2">
      <c r="A18" s="181" t="s">
        <v>390</v>
      </c>
      <c r="B18" s="183">
        <v>0.38</v>
      </c>
      <c r="C18" s="190"/>
      <c r="D18" s="188"/>
    </row>
    <row r="19" spans="1:7" x14ac:dyDescent="0.2">
      <c r="A19" s="181"/>
      <c r="B19" s="191"/>
    </row>
    <row r="20" spans="1:7" ht="15.75" x14ac:dyDescent="0.25">
      <c r="A20" s="179" t="s">
        <v>391</v>
      </c>
      <c r="C20" s="189"/>
      <c r="D20" s="188"/>
    </row>
    <row r="21" spans="1:7" x14ac:dyDescent="0.2">
      <c r="A21" s="181" t="s">
        <v>392</v>
      </c>
      <c r="B21" s="183">
        <v>6</v>
      </c>
      <c r="C21" s="189" t="s">
        <v>393</v>
      </c>
      <c r="D21" s="188">
        <f>B11/2*(RADIANS(D15))+B10+B16</f>
        <v>0.61324870523306241</v>
      </c>
      <c r="F21" s="181"/>
      <c r="G21" s="181"/>
    </row>
    <row r="22" spans="1:7" x14ac:dyDescent="0.2">
      <c r="A22" s="181" t="s">
        <v>394</v>
      </c>
      <c r="B22" s="183">
        <v>2.5</v>
      </c>
      <c r="C22" s="189" t="s">
        <v>395</v>
      </c>
      <c r="D22" s="188">
        <f>D21+B17</f>
        <v>1.3632487052330624</v>
      </c>
      <c r="F22" s="181"/>
      <c r="G22" s="181"/>
    </row>
    <row r="23" spans="1:7" x14ac:dyDescent="0.2">
      <c r="A23" s="181" t="s">
        <v>396</v>
      </c>
      <c r="B23" s="183">
        <v>2</v>
      </c>
      <c r="C23" s="189" t="s">
        <v>397</v>
      </c>
      <c r="D23" s="174">
        <f>B23-((B11/2)*TAN(RADIANS(D15))+B16)</f>
        <v>1.6866666666666665</v>
      </c>
      <c r="F23" s="181"/>
      <c r="G23" s="181"/>
    </row>
    <row r="24" spans="1:7" ht="15.75" x14ac:dyDescent="0.25">
      <c r="E24" s="181"/>
      <c r="F24" s="192"/>
      <c r="G24" s="192"/>
    </row>
    <row r="25" spans="1:7" ht="15.75" x14ac:dyDescent="0.25">
      <c r="A25" s="179" t="s">
        <v>398</v>
      </c>
      <c r="E25" s="192"/>
      <c r="F25" s="192"/>
      <c r="G25" s="192"/>
    </row>
    <row r="26" spans="1:7" ht="15.75" x14ac:dyDescent="0.25">
      <c r="A26" s="181" t="s">
        <v>399</v>
      </c>
      <c r="B26" s="183">
        <v>2000</v>
      </c>
      <c r="C26" s="189" t="s">
        <v>400</v>
      </c>
      <c r="D26" s="188">
        <f>(((B21/2)^2)*PI()-((B22/2)^2)*PI())</f>
        <v>23.365595361074085</v>
      </c>
      <c r="E26" s="192"/>
      <c r="F26" s="192"/>
      <c r="G26" s="192"/>
    </row>
    <row r="27" spans="1:7" ht="15.75" x14ac:dyDescent="0.25">
      <c r="C27" s="189" t="s">
        <v>401</v>
      </c>
      <c r="D27" s="188">
        <f>D26*B23</f>
        <v>46.73119072214817</v>
      </c>
      <c r="E27" s="192"/>
      <c r="F27" s="192"/>
      <c r="G27" s="192"/>
    </row>
    <row r="28" spans="1:7" s="193" customFormat="1" ht="15.75" x14ac:dyDescent="0.25">
      <c r="B28" s="194"/>
      <c r="C28" s="189" t="s">
        <v>402</v>
      </c>
      <c r="D28" s="188">
        <f>B42/(3.117*D26)</f>
        <v>0.33332083380206579</v>
      </c>
      <c r="E28" s="192"/>
      <c r="F28" s="192"/>
      <c r="G28" s="192"/>
    </row>
    <row r="29" spans="1:7" ht="15.75" x14ac:dyDescent="0.25">
      <c r="A29" s="179" t="s">
        <v>403</v>
      </c>
    </row>
    <row r="30" spans="1:7" x14ac:dyDescent="0.2">
      <c r="A30" s="181" t="s">
        <v>417</v>
      </c>
      <c r="B30" s="183">
        <v>0.5</v>
      </c>
    </row>
    <row r="31" spans="1:7" x14ac:dyDescent="0.2">
      <c r="A31" s="181" t="s">
        <v>405</v>
      </c>
      <c r="B31" s="183">
        <v>1</v>
      </c>
    </row>
    <row r="34" spans="1:5" ht="15.75" x14ac:dyDescent="0.25">
      <c r="E34" s="192"/>
    </row>
    <row r="35" spans="1:5" ht="15.75" x14ac:dyDescent="0.25">
      <c r="A35" s="195" t="s">
        <v>406</v>
      </c>
      <c r="E35" s="192"/>
    </row>
    <row r="36" spans="1:5" ht="15.75" x14ac:dyDescent="0.25">
      <c r="E36" s="192"/>
    </row>
    <row r="37" spans="1:5" ht="15.75" x14ac:dyDescent="0.25">
      <c r="A37" s="192" t="s">
        <v>418</v>
      </c>
      <c r="B37" s="196">
        <f>(((B21/2)^2)*PI()-((B22/2)^2)*PI())*B26/2</f>
        <v>23365.595361074083</v>
      </c>
      <c r="E37" s="192"/>
    </row>
    <row r="38" spans="1:5" ht="15.75" x14ac:dyDescent="0.25">
      <c r="A38" s="192" t="s">
        <v>408</v>
      </c>
      <c r="B38" s="196">
        <f>B37*2</f>
        <v>46731.190722148167</v>
      </c>
      <c r="E38" s="192"/>
    </row>
    <row r="39" spans="1:5" ht="15.75" x14ac:dyDescent="0.25">
      <c r="A39" s="192" t="s">
        <v>409</v>
      </c>
      <c r="B39" s="196">
        <f>D17*D12*(1-B18)</f>
        <v>0</v>
      </c>
      <c r="C39" s="192"/>
      <c r="D39" s="171"/>
    </row>
    <row r="40" spans="1:5" ht="15.75" x14ac:dyDescent="0.25">
      <c r="A40" s="192" t="s">
        <v>410</v>
      </c>
      <c r="B40" s="192">
        <f>B38*0.0005</f>
        <v>23.365595361074085</v>
      </c>
    </row>
    <row r="41" spans="1:5" ht="15.75" x14ac:dyDescent="0.25">
      <c r="A41" s="192" t="s">
        <v>411</v>
      </c>
      <c r="B41" s="196" t="e">
        <f>B38/B39</f>
        <v>#DIV/0!</v>
      </c>
    </row>
    <row r="42" spans="1:5" ht="15.75" x14ac:dyDescent="0.25">
      <c r="A42" s="192" t="s">
        <v>412</v>
      </c>
      <c r="B42" s="196">
        <f>((D27/231)*60)/B30</f>
        <v>24.275943232284764</v>
      </c>
    </row>
    <row r="43" spans="1:5" ht="15.75" x14ac:dyDescent="0.25">
      <c r="A43" s="192" t="s">
        <v>413</v>
      </c>
      <c r="B43" s="196">
        <f>B42*B45/B44</f>
        <v>12.137971616142382</v>
      </c>
    </row>
    <row r="44" spans="1:5" ht="15.75" x14ac:dyDescent="0.25">
      <c r="A44" s="192" t="s">
        <v>414</v>
      </c>
      <c r="B44" s="197">
        <f>(1/(B30*2))*60</f>
        <v>60</v>
      </c>
    </row>
    <row r="45" spans="1:5" ht="15.75" x14ac:dyDescent="0.25">
      <c r="A45" s="192" t="s">
        <v>415</v>
      </c>
      <c r="B45" s="197">
        <f>1/(B30*2+B31)*60</f>
        <v>30</v>
      </c>
    </row>
    <row r="46" spans="1:5" ht="15.75" x14ac:dyDescent="0.25">
      <c r="A46" s="192" t="s">
        <v>416</v>
      </c>
      <c r="B46" s="198">
        <f>B45*60</f>
        <v>1800</v>
      </c>
    </row>
    <row r="48" spans="1:5" ht="15.75" x14ac:dyDescent="0.25">
      <c r="A48" s="199" t="s">
        <v>419</v>
      </c>
    </row>
    <row r="49" spans="1:1" x14ac:dyDescent="0.2">
      <c r="A49" s="174" t="s">
        <v>420</v>
      </c>
    </row>
    <row r="50" spans="1:1" x14ac:dyDescent="0.2">
      <c r="A50" s="171" t="s">
        <v>421</v>
      </c>
    </row>
    <row r="51" spans="1:1" x14ac:dyDescent="0.2">
      <c r="A51" s="171" t="s">
        <v>422</v>
      </c>
    </row>
    <row r="52" spans="1:1" x14ac:dyDescent="0.2">
      <c r="A52" s="171" t="s">
        <v>423</v>
      </c>
    </row>
    <row r="53" spans="1:1" x14ac:dyDescent="0.2">
      <c r="A53" s="171" t="s">
        <v>424</v>
      </c>
    </row>
    <row r="54" spans="1:1" x14ac:dyDescent="0.2">
      <c r="A54" s="171" t="s">
        <v>425</v>
      </c>
    </row>
    <row r="58" spans="1:1" x14ac:dyDescent="0.2">
      <c r="A58" s="174" t="s">
        <v>426</v>
      </c>
    </row>
    <row r="59" spans="1:1" x14ac:dyDescent="0.2">
      <c r="A59" s="171" t="s">
        <v>427</v>
      </c>
    </row>
    <row r="60" spans="1:1" x14ac:dyDescent="0.2">
      <c r="A60" s="171" t="s">
        <v>428</v>
      </c>
    </row>
    <row r="61" spans="1:1" x14ac:dyDescent="0.2">
      <c r="A61" s="171" t="s">
        <v>429</v>
      </c>
    </row>
    <row r="62" spans="1:1" x14ac:dyDescent="0.2">
      <c r="A62" s="171" t="s">
        <v>430</v>
      </c>
    </row>
    <row r="63" spans="1:1" x14ac:dyDescent="0.2">
      <c r="A63" s="171" t="s">
        <v>431</v>
      </c>
    </row>
  </sheetData>
  <mergeCells count="3">
    <mergeCell ref="B2:C2"/>
    <mergeCell ref="B3:C3"/>
    <mergeCell ref="B4:C4"/>
  </mergeCells>
  <conditionalFormatting sqref="B41">
    <cfRule type="cellIs" dxfId="13" priority="1" stopIfTrue="1" operator="lessThan">
      <formula>1</formula>
    </cfRule>
  </conditionalFormatting>
  <conditionalFormatting sqref="B38">
    <cfRule type="cellIs" dxfId="12" priority="2" stopIfTrue="1" operator="lessThan">
      <formula>$B$39</formula>
    </cfRule>
  </conditionalFormatting>
  <conditionalFormatting sqref="E24 F23:G23">
    <cfRule type="cellIs" dxfId="11" priority="3" stopIfTrue="1" operator="lessThan">
      <formula>#REF!</formula>
    </cfRule>
  </conditionalFormatting>
  <printOptions horizontalCentered="1"/>
  <pageMargins left="0.75" right="0.75" top="0.9" bottom="1" header="0.44" footer="0.5"/>
  <pageSetup scale="69" orientation="portrait" horizontalDpi="4294967292" r:id="rId1"/>
  <headerFooter alignWithMargins="0">
    <oddHeader>&amp;C&amp;"Arial,Bold"&amp;16Hydraulic Production 
Shear Calculation&amp;14
&amp;11(Bowtie  Blade)</oddHeader>
    <oddFooter>&amp;C&amp;8&amp;F  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Tbl_Contents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2124075</xdr:colOff>
                    <xdr:row>0</xdr:row>
                    <xdr:rowOff>438150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CB979-C09E-4AF7-995C-57604A648F3A}">
  <sheetPr codeName="Sheet30">
    <tabColor theme="1"/>
    <pageSetUpPr fitToPage="1"/>
  </sheetPr>
  <dimension ref="A1:X125"/>
  <sheetViews>
    <sheetView zoomScale="80" zoomScaleNormal="80" workbookViewId="0">
      <selection activeCell="I15" sqref="I15"/>
    </sheetView>
  </sheetViews>
  <sheetFormatPr defaultRowHeight="15" x14ac:dyDescent="0.25"/>
  <cols>
    <col min="1" max="1" width="24.140625" customWidth="1"/>
    <col min="2" max="2" width="9.7109375" customWidth="1"/>
    <col min="3" max="3" width="9.5703125" customWidth="1"/>
    <col min="4" max="4" width="20.42578125" customWidth="1"/>
    <col min="5" max="5" width="7.85546875" customWidth="1"/>
    <col min="6" max="6" width="11.42578125" customWidth="1"/>
    <col min="7" max="7" width="12.85546875" customWidth="1"/>
    <col min="9" max="9" width="9.5703125" style="201" customWidth="1"/>
    <col min="12" max="12" width="12.7109375" customWidth="1"/>
    <col min="13" max="14" width="12.7109375" hidden="1" customWidth="1"/>
    <col min="15" max="15" width="20.7109375" customWidth="1"/>
    <col min="16" max="16" width="17.140625" customWidth="1"/>
    <col min="17" max="17" width="12.7109375" hidden="1" customWidth="1"/>
    <col min="18" max="18" width="20.7109375" customWidth="1"/>
    <col min="19" max="19" width="16.7109375" customWidth="1"/>
    <col min="20" max="20" width="12.7109375" hidden="1" customWidth="1"/>
  </cols>
  <sheetData>
    <row r="1" spans="1:20" ht="21.75" thickBot="1" x14ac:dyDescent="0.4">
      <c r="B1" s="364" t="s">
        <v>0</v>
      </c>
      <c r="C1" s="364"/>
      <c r="D1" s="364"/>
      <c r="E1" s="364"/>
      <c r="F1" s="364"/>
      <c r="L1" s="2"/>
      <c r="M1" s="1005" t="s">
        <v>432</v>
      </c>
      <c r="N1" s="1006"/>
      <c r="O1" s="2"/>
      <c r="P1" s="2"/>
      <c r="Q1" s="202"/>
      <c r="R1" s="2"/>
      <c r="S1" s="2"/>
      <c r="T1" s="202"/>
    </row>
    <row r="2" spans="1:20" ht="17.45" customHeight="1" x14ac:dyDescent="0.25">
      <c r="D2" s="64" t="s">
        <v>636</v>
      </c>
      <c r="L2" s="457" t="s">
        <v>256</v>
      </c>
      <c r="M2" s="203" t="s">
        <v>434</v>
      </c>
      <c r="N2" s="203" t="s">
        <v>435</v>
      </c>
      <c r="O2" s="203" t="str">
        <f>IF(application="Cut to Length", "Blanks/Min (" &amp; $E$19 &amp; " " &amp; $F$19 &amp; ")","SPM @ " &amp; $E$19 &amp; " " &amp; $F$19)</f>
        <v>SPM @ 180 Deg.</v>
      </c>
      <c r="P2" s="203" t="s">
        <v>1112</v>
      </c>
      <c r="Q2" s="203" t="s">
        <v>637</v>
      </c>
      <c r="R2" s="203" t="str">
        <f>IF(application="Cut to Length", "Blanks/Min (" &amp; $E$20 &amp; " " &amp; $F$20 &amp; ")","SPM @ " &amp; $E$20 &amp; " " &amp; $F$20)</f>
        <v>SPM @ 240 Deg.</v>
      </c>
      <c r="S2" s="204" t="s">
        <v>1112</v>
      </c>
      <c r="T2" s="617" t="s">
        <v>637</v>
      </c>
    </row>
    <row r="3" spans="1:20" ht="17.45" customHeight="1" x14ac:dyDescent="0.25">
      <c r="E3" s="64"/>
      <c r="L3" s="613" t="e">
        <f ca="1">INDIRECT("'" &amp; $A$101 &amp; "'!B3")</f>
        <v>#N/A</v>
      </c>
      <c r="M3" s="53" t="e">
        <f ca="1">INDIRECT("'" &amp; $A$101 &amp; "'!B4")</f>
        <v>#N/A</v>
      </c>
      <c r="N3" s="53" t="e">
        <f ca="1">INDIRECT("'" &amp; $A$101 &amp; "'!L4")</f>
        <v>#N/A</v>
      </c>
      <c r="O3" s="53" t="e">
        <f ca="1">INDIRECT("'" &amp; $A$101 &amp; "'!B10")</f>
        <v>#N/A</v>
      </c>
      <c r="P3" s="53" t="e">
        <f ca="1">($L3*$O3)/12</f>
        <v>#N/A</v>
      </c>
      <c r="Q3" s="55" t="e">
        <f ca="1">INDIRECT("'" &amp; $A$101 &amp; "'!B8")</f>
        <v>#N/A</v>
      </c>
      <c r="R3" s="53" t="e">
        <f ca="1">INDIRECT("'" &amp; $A$101 &amp; "'!L10")</f>
        <v>#N/A</v>
      </c>
      <c r="S3" s="619" t="e">
        <f ca="1">($L3*$R3)/12</f>
        <v>#N/A</v>
      </c>
      <c r="T3" s="580" t="e">
        <f ca="1">INDIRECT("'" &amp; $A$101 &amp; "'!L8")</f>
        <v>#N/A</v>
      </c>
    </row>
    <row r="4" spans="1:20" ht="17.45" customHeight="1" x14ac:dyDescent="0.25">
      <c r="A4" s="1" t="s">
        <v>1</v>
      </c>
      <c r="B4" s="1004" t="str">
        <f>Customer</f>
        <v>ULTRATECH TOOL&amp; DESIGN, INC.</v>
      </c>
      <c r="C4" s="940"/>
      <c r="D4" s="941"/>
      <c r="E4" s="64"/>
      <c r="L4" s="208">
        <f ca="1">INDIRECT("'" &amp; $A$101 &amp; "'!C3")</f>
        <v>4</v>
      </c>
      <c r="M4" s="53" t="e">
        <f ca="1">INDIRECT("'" &amp; $A$101 &amp; "'!C4")</f>
        <v>#N/A</v>
      </c>
      <c r="N4" s="53" t="e">
        <f ca="1">INDIRECT("'" &amp; $A$101 &amp; "'!M4")</f>
        <v>#N/A</v>
      </c>
      <c r="O4" s="53" t="e">
        <f ca="1">INDIRECT("'" &amp; $A$101 &amp; "'!C10")</f>
        <v>#N/A</v>
      </c>
      <c r="P4" s="53" t="e">
        <f t="shared" ref="P4:P26" ca="1" si="0">($L4*$O4)/12</f>
        <v>#N/A</v>
      </c>
      <c r="Q4" s="55" t="e">
        <f ca="1">INDIRECT("'" &amp; $A$101 &amp; "'!C8")</f>
        <v>#N/A</v>
      </c>
      <c r="R4" s="53" t="e">
        <f ca="1">INDIRECT("'" &amp; $A$101 &amp; "'!M10")</f>
        <v>#N/A</v>
      </c>
      <c r="S4" s="619" t="e">
        <f t="shared" ref="S4:S26" ca="1" si="1">($L4*$R4)/12</f>
        <v>#N/A</v>
      </c>
      <c r="T4" s="580" t="e">
        <f ca="1">INDIRECT("'" &amp; $A$101 &amp; "'!M8")</f>
        <v>#N/A</v>
      </c>
    </row>
    <row r="5" spans="1:20" ht="17.45" customHeight="1" x14ac:dyDescent="0.25">
      <c r="A5" s="1" t="s">
        <v>2</v>
      </c>
      <c r="B5" s="939">
        <f>CalcDate</f>
        <v>0</v>
      </c>
      <c r="C5" s="940"/>
      <c r="D5" s="941"/>
      <c r="L5" s="208">
        <f ca="1">INDIRECT("'" &amp; $A$101 &amp; "'!D3")</f>
        <v>8</v>
      </c>
      <c r="M5" s="53" t="e">
        <f ca="1">INDIRECT("'" &amp; $A$101 &amp; "'!D4")</f>
        <v>#N/A</v>
      </c>
      <c r="N5" s="53" t="e">
        <f ca="1">INDIRECT("'" &amp; $A$101 &amp; "'!N4")</f>
        <v>#N/A</v>
      </c>
      <c r="O5" s="53" t="e">
        <f ca="1">INDIRECT("'" &amp; $A$101 &amp; "'!D10")</f>
        <v>#N/A</v>
      </c>
      <c r="P5" s="53" t="e">
        <f t="shared" ca="1" si="0"/>
        <v>#N/A</v>
      </c>
      <c r="Q5" s="55" t="e">
        <f ca="1">INDIRECT("'" &amp; $A$101 &amp; "'!D8")</f>
        <v>#N/A</v>
      </c>
      <c r="R5" s="53" t="e">
        <f ca="1">INDIRECT("'" &amp; $A$101 &amp; "'!N10")</f>
        <v>#N/A</v>
      </c>
      <c r="S5" s="619" t="e">
        <f t="shared" ca="1" si="1"/>
        <v>#N/A</v>
      </c>
      <c r="T5" s="580" t="e">
        <f ca="1">INDIRECT("'" &amp; $A$101 &amp; "'!N8")</f>
        <v>#N/A</v>
      </c>
    </row>
    <row r="6" spans="1:20" ht="17.45" customHeight="1" x14ac:dyDescent="0.25">
      <c r="A6" s="1" t="s">
        <v>131</v>
      </c>
      <c r="B6" s="1004">
        <f>Reference</f>
        <v>0</v>
      </c>
      <c r="C6" s="940"/>
      <c r="D6" s="941"/>
      <c r="L6" s="208">
        <f ca="1">INDIRECT("'" &amp; $A$101 &amp; "'!E3")</f>
        <v>12</v>
      </c>
      <c r="M6" s="53" t="e">
        <f ca="1">INDIRECT("'" &amp; $A$101 &amp; "'!E4")</f>
        <v>#N/A</v>
      </c>
      <c r="N6" s="53" t="e">
        <f ca="1">INDIRECT("'" &amp; $A$101 &amp; "'!O4")</f>
        <v>#N/A</v>
      </c>
      <c r="O6" s="53" t="e">
        <f ca="1">INDIRECT("'" &amp; $A$101 &amp; "'!E10")</f>
        <v>#N/A</v>
      </c>
      <c r="P6" s="53" t="e">
        <f t="shared" ca="1" si="0"/>
        <v>#N/A</v>
      </c>
      <c r="Q6" s="55" t="e">
        <f ca="1">INDIRECT("'" &amp; $A$101 &amp; "'!E8")</f>
        <v>#N/A</v>
      </c>
      <c r="R6" s="53" t="e">
        <f ca="1">INDIRECT("'" &amp; $A$101 &amp; "'!O10")</f>
        <v>#N/A</v>
      </c>
      <c r="S6" s="619" t="e">
        <f t="shared" ca="1" si="1"/>
        <v>#N/A</v>
      </c>
      <c r="T6" s="580" t="e">
        <f ca="1">INDIRECT("'" &amp; $A$101 &amp; "'!O8")</f>
        <v>#N/A</v>
      </c>
    </row>
    <row r="7" spans="1:20" ht="17.45" customHeight="1" x14ac:dyDescent="0.25">
      <c r="L7" s="208">
        <f ca="1">INDIRECT("'" &amp; $A$101 &amp; "'!F3")</f>
        <v>16</v>
      </c>
      <c r="M7" s="53" t="e">
        <f ca="1">INDIRECT("'" &amp; $A$101 &amp; "'!F4")</f>
        <v>#N/A</v>
      </c>
      <c r="N7" s="53" t="e">
        <f ca="1">INDIRECT("'" &amp; $A$101 &amp; "'!P4")</f>
        <v>#N/A</v>
      </c>
      <c r="O7" s="53" t="e">
        <f ca="1">INDIRECT("'" &amp; $A$101 &amp; "'!F10")</f>
        <v>#N/A</v>
      </c>
      <c r="P7" s="53" t="e">
        <f t="shared" ca="1" si="0"/>
        <v>#N/A</v>
      </c>
      <c r="Q7" s="55" t="e">
        <f ca="1">INDIRECT("'" &amp; $A$101 &amp; "'!F8")</f>
        <v>#N/A</v>
      </c>
      <c r="R7" s="53" t="e">
        <f ca="1">INDIRECT("'" &amp; $A$101 &amp; "'!P10")</f>
        <v>#N/A</v>
      </c>
      <c r="S7" s="619" t="e">
        <f t="shared" ca="1" si="1"/>
        <v>#N/A</v>
      </c>
      <c r="T7" s="580" t="e">
        <f ca="1">INDIRECT("'" &amp; $A$101 &amp; "'!P8")</f>
        <v>#N/A</v>
      </c>
    </row>
    <row r="8" spans="1:20" ht="17.45" customHeight="1" x14ac:dyDescent="0.25">
      <c r="A8" s="18" t="s">
        <v>438</v>
      </c>
      <c r="B8" s="27" t="str">
        <f>SelectedApplication</f>
        <v>Press Feed</v>
      </c>
      <c r="L8" s="208">
        <f ca="1">INDIRECT("'" &amp; $A$101 &amp; "'!G3")</f>
        <v>20</v>
      </c>
      <c r="M8" s="53" t="e">
        <f ca="1">INDIRECT("'" &amp; $A$101 &amp; "'!G4")</f>
        <v>#N/A</v>
      </c>
      <c r="N8" s="53" t="e">
        <f ca="1">INDIRECT("'" &amp; $A$101 &amp; "'!Q4")</f>
        <v>#N/A</v>
      </c>
      <c r="O8" s="53" t="e">
        <f ca="1">INDIRECT("'" &amp; $A$101 &amp; "'!G10")</f>
        <v>#N/A</v>
      </c>
      <c r="P8" s="53" t="e">
        <f t="shared" ca="1" si="0"/>
        <v>#N/A</v>
      </c>
      <c r="Q8" s="55" t="e">
        <f ca="1">INDIRECT("'" &amp; $A$101 &amp; "'!G8")</f>
        <v>#N/A</v>
      </c>
      <c r="R8" s="53" t="e">
        <f ca="1">INDIRECT("'" &amp; $A$101 &amp; "'!Q10")</f>
        <v>#N/A</v>
      </c>
      <c r="S8" s="619" t="e">
        <f t="shared" ca="1" si="1"/>
        <v>#N/A</v>
      </c>
      <c r="T8" s="580" t="e">
        <f ca="1">INDIRECT("'" &amp; $A$101 &amp; "'!Q8")</f>
        <v>#N/A</v>
      </c>
    </row>
    <row r="9" spans="1:20" ht="17.45" customHeight="1" x14ac:dyDescent="0.25">
      <c r="A9" s="18" t="s">
        <v>160</v>
      </c>
      <c r="B9" s="1048">
        <f>'Sigma 5 Feed With Pull Thru (1)'!model</f>
        <v>0</v>
      </c>
      <c r="C9" s="1049"/>
      <c r="F9" s="210" t="s">
        <v>441</v>
      </c>
      <c r="G9" s="211" t="e">
        <f>VLOOKUP(model,LookupSigma5FeedPT,14,FALSE)</f>
        <v>#N/A</v>
      </c>
      <c r="L9" s="208">
        <f ca="1">INDIRECT("'" &amp; $A$101 &amp; "'!H3")</f>
        <v>24</v>
      </c>
      <c r="M9" s="53" t="e">
        <f ca="1">INDIRECT("'" &amp; $A$101 &amp; "'!H4")</f>
        <v>#N/A</v>
      </c>
      <c r="N9" s="53" t="e">
        <f ca="1">INDIRECT("'" &amp; $A$101 &amp; "'!R4")</f>
        <v>#N/A</v>
      </c>
      <c r="O9" s="53" t="e">
        <f ca="1">INDIRECT("'" &amp; $A$101 &amp; "'!H10")</f>
        <v>#N/A</v>
      </c>
      <c r="P9" s="53" t="e">
        <f t="shared" ca="1" si="0"/>
        <v>#N/A</v>
      </c>
      <c r="Q9" s="55" t="e">
        <f ca="1">INDIRECT("'" &amp; $A$101 &amp; "'!H8")</f>
        <v>#N/A</v>
      </c>
      <c r="R9" s="53" t="e">
        <f ca="1">INDIRECT("'" &amp; $A$101 &amp; "'!R10")</f>
        <v>#N/A</v>
      </c>
      <c r="S9" s="619" t="e">
        <f t="shared" ca="1" si="1"/>
        <v>#N/A</v>
      </c>
      <c r="T9" s="580" t="e">
        <f ca="1">INDIRECT("'" &amp; $A$101 &amp; "'!R8")</f>
        <v>#N/A</v>
      </c>
    </row>
    <row r="10" spans="1:20" ht="17.45" customHeight="1" x14ac:dyDescent="0.25">
      <c r="A10" s="18" t="s">
        <v>442</v>
      </c>
      <c r="B10" s="582">
        <f>'Sigma 5 Feed With Pull Thru (1)'!width</f>
        <v>0</v>
      </c>
      <c r="F10" s="210" t="s">
        <v>443</v>
      </c>
      <c r="G10" s="211" t="e">
        <f>VLOOKUP(model,LookupSigma5FeedPT,15,FALSE)</f>
        <v>#N/A</v>
      </c>
      <c r="L10" s="208">
        <f ca="1">INDIRECT("'" &amp; $A$101 &amp; "'!I3")</f>
        <v>28</v>
      </c>
      <c r="M10" s="53" t="e">
        <f ca="1">INDIRECT("'" &amp; $A$101 &amp; "'!I4")</f>
        <v>#N/A</v>
      </c>
      <c r="N10" s="53" t="e">
        <f ca="1">INDIRECT("'" &amp; $A$101 &amp; "'!S4")</f>
        <v>#N/A</v>
      </c>
      <c r="O10" s="53" t="e">
        <f ca="1">INDIRECT("'" &amp; $A$101 &amp; "'!I10")</f>
        <v>#N/A</v>
      </c>
      <c r="P10" s="53" t="e">
        <f t="shared" ca="1" si="0"/>
        <v>#N/A</v>
      </c>
      <c r="Q10" s="55" t="e">
        <f ca="1">INDIRECT("'" &amp; $A$101 &amp; "'!I8")</f>
        <v>#N/A</v>
      </c>
      <c r="R10" s="53" t="e">
        <f ca="1">INDIRECT("'" &amp; $A$101 &amp; "'!S10")</f>
        <v>#N/A</v>
      </c>
      <c r="S10" s="619" t="e">
        <f t="shared" ca="1" si="1"/>
        <v>#N/A</v>
      </c>
      <c r="T10" s="580" t="e">
        <f ca="1">INDIRECT("'" &amp; $A$101 &amp; "'!S8")</f>
        <v>#N/A</v>
      </c>
    </row>
    <row r="11" spans="1:20" ht="17.45" customHeight="1" x14ac:dyDescent="0.25">
      <c r="A11" s="365" t="s">
        <v>444</v>
      </c>
      <c r="B11" s="699" t="str">
        <f>'Sigma 5 Feed With Pull Thru (1)'!$B$11</f>
        <v>N</v>
      </c>
      <c r="L11" s="208">
        <f ca="1">INDIRECT("'" &amp; $A$101 &amp; "'!B12")</f>
        <v>32</v>
      </c>
      <c r="M11" s="53" t="e">
        <f ca="1">INDIRECT("'" &amp; $A$101 &amp; "'!B13")</f>
        <v>#N/A</v>
      </c>
      <c r="N11" s="53" t="e">
        <f ca="1">INDIRECT("'" &amp; $A$101 &amp; "'!L13")</f>
        <v>#N/A</v>
      </c>
      <c r="O11" s="53" t="e">
        <f ca="1">INDIRECT("'" &amp; $A$101 &amp; "'!B19")</f>
        <v>#N/A</v>
      </c>
      <c r="P11" s="53" t="e">
        <f t="shared" ca="1" si="0"/>
        <v>#N/A</v>
      </c>
      <c r="Q11" s="55" t="e">
        <f ca="1">INDIRECT("'" &amp; $A$101 &amp; "'!B17")</f>
        <v>#N/A</v>
      </c>
      <c r="R11" s="53" t="e">
        <f ca="1">INDIRECT("'" &amp; $A$101 &amp; "'!L19")</f>
        <v>#N/A</v>
      </c>
      <c r="S11" s="619" t="e">
        <f t="shared" ca="1" si="1"/>
        <v>#N/A</v>
      </c>
      <c r="T11" s="580" t="e">
        <f ca="1">INDIRECT("'" &amp; $A$101 &amp; "'!L17")</f>
        <v>#N/A</v>
      </c>
    </row>
    <row r="12" spans="1:20" ht="17.45" customHeight="1" x14ac:dyDescent="0.25">
      <c r="A12" s="365" t="s">
        <v>446</v>
      </c>
      <c r="B12" s="699" t="str">
        <f>'Sigma 5 Feed With Pull Thru (1)'!$B$12</f>
        <v>Y</v>
      </c>
      <c r="D12" s="220" t="s">
        <v>638</v>
      </c>
      <c r="E12" s="701">
        <f>'Reel Drive'!SPEED</f>
        <v>42</v>
      </c>
      <c r="F12" s="212" t="s">
        <v>452</v>
      </c>
      <c r="G12" s="458" t="s">
        <v>63</v>
      </c>
      <c r="H12" s="904" t="str">
        <f>Material_2</f>
        <v>HS Steel</v>
      </c>
      <c r="I12" s="904"/>
      <c r="L12" s="208">
        <f ca="1">INDIRECT("'" &amp; $A$101 &amp; "'!C12")</f>
        <v>36</v>
      </c>
      <c r="M12" s="53" t="e">
        <f ca="1">INDIRECT("'" &amp; $A$101 &amp; "'!C13")</f>
        <v>#N/A</v>
      </c>
      <c r="N12" s="53" t="e">
        <f ca="1">INDIRECT("'" &amp; $A$101 &amp; "'!M13")</f>
        <v>#N/A</v>
      </c>
      <c r="O12" s="53" t="e">
        <f ca="1">INDIRECT("'" &amp; $A$101 &amp; "'!C19")</f>
        <v>#N/A</v>
      </c>
      <c r="P12" s="53" t="e">
        <f t="shared" ca="1" si="0"/>
        <v>#N/A</v>
      </c>
      <c r="Q12" s="55" t="e">
        <f ca="1">INDIRECT("'" &amp; $A$101 &amp; "'!C17")</f>
        <v>#N/A</v>
      </c>
      <c r="R12" s="53" t="e">
        <f ca="1">INDIRECT("'" &amp; $A$101 &amp; "'!M19")</f>
        <v>#N/A</v>
      </c>
      <c r="S12" s="619" t="e">
        <f t="shared" ca="1" si="1"/>
        <v>#N/A</v>
      </c>
      <c r="T12" s="580" t="e">
        <f ca="1">INDIRECT("'" &amp; $A$101 &amp; "'!M17")</f>
        <v>#N/A</v>
      </c>
    </row>
    <row r="13" spans="1:20" ht="17.45" customHeight="1" x14ac:dyDescent="0.25">
      <c r="L13" s="208">
        <f ca="1">INDIRECT("'" &amp; $A$101 &amp; "'!D12")</f>
        <v>40</v>
      </c>
      <c r="M13" s="53" t="e">
        <f ca="1">INDIRECT("'" &amp; $A$101 &amp; "'!D13")</f>
        <v>#N/A</v>
      </c>
      <c r="N13" s="53" t="e">
        <f ca="1">INDIRECT("'" &amp; $A$101 &amp; "'!N13")</f>
        <v>#N/A</v>
      </c>
      <c r="O13" s="53" t="e">
        <f ca="1">INDIRECT("'" &amp; $A$101 &amp; "'!D19")</f>
        <v>#N/A</v>
      </c>
      <c r="P13" s="53" t="e">
        <f t="shared" ca="1" si="0"/>
        <v>#N/A</v>
      </c>
      <c r="Q13" s="55" t="e">
        <f ca="1">INDIRECT("'" &amp; $A$101 &amp; "'!D17")</f>
        <v>#N/A</v>
      </c>
      <c r="R13" s="53" t="e">
        <f ca="1">INDIRECT("'" &amp; $A$101 &amp; "'!N19")</f>
        <v>#N/A</v>
      </c>
      <c r="S13" s="619" t="e">
        <f t="shared" ca="1" si="1"/>
        <v>#N/A</v>
      </c>
      <c r="T13" s="580" t="e">
        <f ca="1">INDIRECT("'" &amp; $A$101 &amp; "'!N17")</f>
        <v>#N/A</v>
      </c>
    </row>
    <row r="14" spans="1:20" ht="17.45" customHeight="1" x14ac:dyDescent="0.25">
      <c r="A14" s="1040" t="s">
        <v>63</v>
      </c>
      <c r="B14" s="50" t="s">
        <v>447</v>
      </c>
      <c r="C14" s="50" t="s">
        <v>448</v>
      </c>
      <c r="D14" s="702" t="str">
        <f>IF(application="Press Feed","Max. Press Bed Length", IF(application="Cut to Length", "Maximum Blank Length","Ln. FLT"))</f>
        <v>Max. Press Bed Length</v>
      </c>
      <c r="E14" s="50" t="s">
        <v>449</v>
      </c>
      <c r="F14" s="50" t="s">
        <v>639</v>
      </c>
      <c r="G14" s="50" t="s">
        <v>640</v>
      </c>
      <c r="H14" s="50" t="s">
        <v>195</v>
      </c>
      <c r="I14" s="50" t="s">
        <v>641</v>
      </c>
      <c r="L14" s="208">
        <f ca="1">INDIRECT("'" &amp; $A$101 &amp; "'!E12")</f>
        <v>44</v>
      </c>
      <c r="M14" s="53" t="e">
        <f ca="1">INDIRECT("'" &amp; $A$101 &amp; "'!E13")</f>
        <v>#N/A</v>
      </c>
      <c r="N14" s="53" t="e">
        <f ca="1">INDIRECT("'" &amp; $A$101 &amp; "'!O13")</f>
        <v>#N/A</v>
      </c>
      <c r="O14" s="53" t="e">
        <f ca="1">INDIRECT("'" &amp; $A$101 &amp; "'!E19")</f>
        <v>#N/A</v>
      </c>
      <c r="P14" s="53" t="e">
        <f t="shared" ca="1" si="0"/>
        <v>#N/A</v>
      </c>
      <c r="Q14" s="55" t="e">
        <f ca="1">INDIRECT("'" &amp; $A$101 &amp; "'!E17")</f>
        <v>#N/A</v>
      </c>
      <c r="R14" s="53" t="e">
        <f ca="1">INDIRECT("'" &amp; $A$101 &amp; "'!O19")</f>
        <v>#N/A</v>
      </c>
      <c r="S14" s="619" t="e">
        <f t="shared" ca="1" si="1"/>
        <v>#N/A</v>
      </c>
      <c r="T14" s="580" t="e">
        <f ca="1">INDIRECT("'" &amp; $A$101 &amp; "'!O17")</f>
        <v>#N/A</v>
      </c>
    </row>
    <row r="15" spans="1:20" ht="17.45" customHeight="1" x14ac:dyDescent="0.25">
      <c r="A15" s="1041"/>
      <c r="B15" s="582">
        <f>CoilWidth_2</f>
        <v>16</v>
      </c>
      <c r="C15" s="597">
        <f>Thickness_2</f>
        <v>0.3</v>
      </c>
      <c r="D15" s="694">
        <f>'Sigma 5 Feed With Pull Thru (1)'!MatLnFLT</f>
        <v>24</v>
      </c>
      <c r="E15" s="582">
        <f>VLOOKUP(material,LookupMaterial,4,FALSE)</f>
        <v>0.28299999999999997</v>
      </c>
      <c r="F15" s="366">
        <f>IF(B11="Y",C15*360*PI()*2,C15*360*PI())</f>
        <v>339.29200658769764</v>
      </c>
      <c r="G15" s="367" t="e">
        <f>VLOOKUP(model,LookupSigma5FeedPT,16,FALSE)</f>
        <v>#N/A</v>
      </c>
      <c r="H15" s="700">
        <f>YieldStrength_2</f>
        <v>100000</v>
      </c>
      <c r="I15" s="368">
        <f>IF(S_ROLL=5,S_ROLL/3.5+0.1,IF(S_ROLL=7,S_ROLL/3.5,IF(S_ROLL=9,(S_ROLL/3.5)-0.1,3)))</f>
        <v>1.5285714285714287</v>
      </c>
      <c r="L15" s="208">
        <f ca="1">INDIRECT("'" &amp; $A$101 &amp; "'!F12")</f>
        <v>48</v>
      </c>
      <c r="M15" s="53" t="e">
        <f ca="1">INDIRECT("'" &amp; $A$101 &amp; "'!F13")</f>
        <v>#N/A</v>
      </c>
      <c r="N15" s="53" t="e">
        <f ca="1">INDIRECT("'" &amp; $A$101 &amp; "'!P13")</f>
        <v>#N/A</v>
      </c>
      <c r="O15" s="53" t="e">
        <f ca="1">INDIRECT("'" &amp; $A$101 &amp; "'!F19")</f>
        <v>#N/A</v>
      </c>
      <c r="P15" s="53" t="e">
        <f t="shared" ca="1" si="0"/>
        <v>#N/A</v>
      </c>
      <c r="Q15" s="55" t="e">
        <f ca="1">INDIRECT("'" &amp; $A$101 &amp; "'!F17")</f>
        <v>#N/A</v>
      </c>
      <c r="R15" s="53" t="e">
        <f ca="1">INDIRECT("'" &amp; $A$101 &amp; "'!P19")</f>
        <v>#N/A</v>
      </c>
      <c r="S15" s="619" t="e">
        <f t="shared" ca="1" si="1"/>
        <v>#N/A</v>
      </c>
      <c r="T15" s="580" t="e">
        <f ca="1">INDIRECT("'" &amp; $A$101 &amp; "'!P17")</f>
        <v>#N/A</v>
      </c>
    </row>
    <row r="16" spans="1:20" ht="17.45" customHeight="1" x14ac:dyDescent="0.25">
      <c r="L16" s="208">
        <f ca="1">INDIRECT("'" &amp; $A$101 &amp; "'!G12")</f>
        <v>52</v>
      </c>
      <c r="M16" s="53" t="e">
        <f ca="1">INDIRECT("'" &amp; $A$101 &amp; "'!G13")</f>
        <v>#N/A</v>
      </c>
      <c r="N16" s="53" t="e">
        <f ca="1">INDIRECT("'" &amp; $A$101 &amp; "'!Q13")</f>
        <v>#N/A</v>
      </c>
      <c r="O16" s="53" t="e">
        <f ca="1">INDIRECT("'" &amp; $A$101 &amp; "'!G19")</f>
        <v>#N/A</v>
      </c>
      <c r="P16" s="53" t="e">
        <f t="shared" ca="1" si="0"/>
        <v>#N/A</v>
      </c>
      <c r="Q16" s="55" t="e">
        <f ca="1">INDIRECT("'" &amp; $A$101 &amp; "'!G17")</f>
        <v>#N/A</v>
      </c>
      <c r="R16" s="53" t="e">
        <f ca="1">INDIRECT("'" &amp; $A$101 &amp; "'!Q19")</f>
        <v>#N/A</v>
      </c>
      <c r="S16" s="619" t="e">
        <f t="shared" ca="1" si="1"/>
        <v>#N/A</v>
      </c>
      <c r="T16" s="580" t="e">
        <f ca="1">INDIRECT("'" &amp; $A$101 &amp; "'!Q17")</f>
        <v>#N/A</v>
      </c>
    </row>
    <row r="17" spans="1:20" ht="17.45" customHeight="1" x14ac:dyDescent="0.25">
      <c r="A17" s="220" t="s">
        <v>1076</v>
      </c>
      <c r="B17" s="216">
        <f>'Sigma 5 Feed With Pull Thru (1)'!$B$17</f>
        <v>5</v>
      </c>
      <c r="D17" s="703" t="s">
        <v>453</v>
      </c>
      <c r="E17" s="582">
        <f>'Sigma 5 Feed With Pull Thru (1)'!MINLN</f>
        <v>4</v>
      </c>
      <c r="F17" s="212" t="s">
        <v>336</v>
      </c>
      <c r="L17" s="208">
        <f ca="1">INDIRECT("'" &amp; $A$101 &amp; "'!H12")</f>
        <v>56</v>
      </c>
      <c r="M17" s="53" t="e">
        <f ca="1">INDIRECT("'" &amp; $A$101 &amp; "'!H13")</f>
        <v>#N/A</v>
      </c>
      <c r="N17" s="53" t="e">
        <f ca="1">INDIRECT("'" &amp; $A$101 &amp; "'!R13")</f>
        <v>#N/A</v>
      </c>
      <c r="O17" s="53" t="e">
        <f ca="1">INDIRECT("'" &amp; $A$101 &amp; "'!H19")</f>
        <v>#N/A</v>
      </c>
      <c r="P17" s="53" t="e">
        <f t="shared" ca="1" si="0"/>
        <v>#N/A</v>
      </c>
      <c r="Q17" s="55" t="e">
        <f ca="1">INDIRECT("'" &amp; $A$101 &amp; "'!H17")</f>
        <v>#N/A</v>
      </c>
      <c r="R17" s="53" t="e">
        <f ca="1">INDIRECT("'" &amp; $A$101 &amp; "'!R19")</f>
        <v>#N/A</v>
      </c>
      <c r="S17" s="619" t="e">
        <f t="shared" ca="1" si="1"/>
        <v>#N/A</v>
      </c>
      <c r="T17" s="580" t="e">
        <f ca="1">INDIRECT("'" &amp; $A$101 &amp; "'!R17")</f>
        <v>#N/A</v>
      </c>
    </row>
    <row r="18" spans="1:20" ht="17.45" customHeight="1" x14ac:dyDescent="0.25">
      <c r="A18" s="220" t="s">
        <v>1389</v>
      </c>
      <c r="B18" s="216">
        <f>'Sigma 5 Feed With Pull Thru (1)'!$B$18</f>
        <v>2</v>
      </c>
      <c r="D18" s="220" t="s">
        <v>455</v>
      </c>
      <c r="E18" s="582">
        <f>'Sigma 5 Feed With Pull Thru (1)'!INCR</f>
        <v>4</v>
      </c>
      <c r="F18" s="212" t="s">
        <v>336</v>
      </c>
      <c r="G18" s="5" t="s">
        <v>460</v>
      </c>
      <c r="H18" s="48" t="e">
        <f>VLOOKUP(model,LookupInertia,2,FALSE)</f>
        <v>#N/A</v>
      </c>
      <c r="I18" s="369" t="s">
        <v>461</v>
      </c>
      <c r="L18" s="208">
        <f ca="1">INDIRECT("'" &amp; $A$101 &amp; "'!I12")</f>
        <v>60</v>
      </c>
      <c r="M18" s="53" t="e">
        <f ca="1">INDIRECT("'" &amp; $A$101 &amp; "'!I13")</f>
        <v>#N/A</v>
      </c>
      <c r="N18" s="53" t="e">
        <f ca="1">INDIRECT("'" &amp; $A$101 &amp; "'!S13")</f>
        <v>#N/A</v>
      </c>
      <c r="O18" s="53" t="e">
        <f ca="1">INDIRECT("'" &amp; $A$101 &amp; "'!I19")</f>
        <v>#N/A</v>
      </c>
      <c r="P18" s="53" t="e">
        <f t="shared" ca="1" si="0"/>
        <v>#N/A</v>
      </c>
      <c r="Q18" s="55" t="e">
        <f ca="1">INDIRECT("'" &amp; $A$101 &amp; "'!I17")</f>
        <v>#N/A</v>
      </c>
      <c r="R18" s="53" t="e">
        <f ca="1">INDIRECT("'" &amp; $A$101 &amp; "'!S19")</f>
        <v>#N/A</v>
      </c>
      <c r="S18" s="619" t="e">
        <f t="shared" ca="1" si="1"/>
        <v>#N/A</v>
      </c>
      <c r="T18" s="580" t="e">
        <f ca="1">INDIRECT("'" &amp; $A$101 &amp; "'!S17")</f>
        <v>#N/A</v>
      </c>
    </row>
    <row r="19" spans="1:20" ht="17.45" customHeight="1" x14ac:dyDescent="0.25">
      <c r="A19" s="220" t="s">
        <v>456</v>
      </c>
      <c r="B19" s="213">
        <v>80</v>
      </c>
      <c r="C19" s="212" t="s">
        <v>457</v>
      </c>
      <c r="D19" s="459" t="str">
        <f>IF(application="Cut to Length","Shear Cyc Tim 1", "Feed Angle 1")</f>
        <v>Feed Angle 1</v>
      </c>
      <c r="E19" s="582">
        <f>'Sigma 5 Feed With Pull Thru (1)'!FA</f>
        <v>180</v>
      </c>
      <c r="F19" s="212" t="str">
        <f>IF(application="Cut to Length","Sec.", "Deg.")</f>
        <v>Deg.</v>
      </c>
      <c r="G19" s="5" t="s">
        <v>466</v>
      </c>
      <c r="H19" s="370" t="e">
        <f>reflin/MINT</f>
        <v>#N/A</v>
      </c>
      <c r="I19" s="2" t="e">
        <f>IF(MATCH&gt;12,"EXCESS",IF(AND(MATCH&gt;=10,MATCH&lt;12), "CAUTION","OK"))</f>
        <v>#N/A</v>
      </c>
      <c r="L19" s="208">
        <f ca="1">INDIRECT("'" &amp; $A$101 &amp; "'!B21")</f>
        <v>64</v>
      </c>
      <c r="M19" s="53" t="e">
        <f ca="1">INDIRECT("'" &amp; $A$101 &amp; "'!B22")</f>
        <v>#N/A</v>
      </c>
      <c r="N19" s="53" t="e">
        <f ca="1">INDIRECT("'" &amp; $A$101 &amp; "'!L22")</f>
        <v>#N/A</v>
      </c>
      <c r="O19" s="53" t="e">
        <f ca="1">INDIRECT("'" &amp; $A$101 &amp; "'!B28")</f>
        <v>#N/A</v>
      </c>
      <c r="P19" s="53" t="e">
        <f t="shared" ca="1" si="0"/>
        <v>#N/A</v>
      </c>
      <c r="Q19" s="55" t="e">
        <f ca="1">INDIRECT("'" &amp; $A$101 &amp; "'!B26")</f>
        <v>#N/A</v>
      </c>
      <c r="R19" s="53" t="e">
        <f ca="1">INDIRECT("'" &amp; $A$101 &amp; "'!L28")</f>
        <v>#N/A</v>
      </c>
      <c r="S19" s="619" t="e">
        <f t="shared" ca="1" si="1"/>
        <v>#N/A</v>
      </c>
      <c r="T19" s="580" t="e">
        <f ca="1">INDIRECT("'" &amp; $A$101 &amp; "'!L26")</f>
        <v>#N/A</v>
      </c>
    </row>
    <row r="20" spans="1:20" ht="17.45" customHeight="1" x14ac:dyDescent="0.25">
      <c r="A20" s="220" t="s">
        <v>642</v>
      </c>
      <c r="B20" s="582">
        <f>'Sigma 5 Feed With Pull Thru (1)'!$B$20</f>
        <v>30</v>
      </c>
      <c r="C20" s="212" t="s">
        <v>40</v>
      </c>
      <c r="D20" s="459" t="str">
        <f>IF(application="Cut to Length","Shear Cyc Tim 2", "Feed Angle 2")</f>
        <v>Feed Angle 2</v>
      </c>
      <c r="E20" s="582">
        <f>'Sigma 5 Feed With Pull Thru (1)'!FA_2</f>
        <v>240</v>
      </c>
      <c r="F20" s="212" t="str">
        <f>IF(application="Cut to Length","Sec.", "Deg.")</f>
        <v>Deg.</v>
      </c>
      <c r="G20" s="5" t="s">
        <v>469</v>
      </c>
      <c r="H20" s="249" t="e">
        <f ca="1">ACCTQ+FRICTQ+LOOPTQ+STR_TO</f>
        <v>#N/A</v>
      </c>
      <c r="I20" s="2" t="e">
        <f ca="1">IF(MPEAK&gt;PEAKTQ,"OK","EXCESS")</f>
        <v>#N/A</v>
      </c>
      <c r="L20" s="208">
        <f ca="1">INDIRECT("'" &amp; $A$101 &amp; "'!C21")</f>
        <v>68</v>
      </c>
      <c r="M20" s="53" t="e">
        <f ca="1">INDIRECT("'" &amp; $A$101 &amp; "'!C22")</f>
        <v>#N/A</v>
      </c>
      <c r="N20" s="53" t="e">
        <f ca="1">INDIRECT("'" &amp; $A$101 &amp; "'!M22")</f>
        <v>#N/A</v>
      </c>
      <c r="O20" s="53" t="e">
        <f ca="1">INDIRECT("'" &amp; $A$101 &amp; "'!C28")</f>
        <v>#N/A</v>
      </c>
      <c r="P20" s="53" t="e">
        <f t="shared" ca="1" si="0"/>
        <v>#N/A</v>
      </c>
      <c r="Q20" s="55" t="e">
        <f ca="1">INDIRECT("'" &amp; $A$101 &amp; "'!C26")</f>
        <v>#N/A</v>
      </c>
      <c r="R20" s="53" t="e">
        <f ca="1">INDIRECT("'" &amp; $A$101 &amp; "'!M28")</f>
        <v>#N/A</v>
      </c>
      <c r="S20" s="619" t="e">
        <f t="shared" ca="1" si="1"/>
        <v>#N/A</v>
      </c>
      <c r="T20" s="580" t="e">
        <f ca="1">INDIRECT("'" &amp; $A$101 &amp; "'!M26")</f>
        <v>#N/A</v>
      </c>
    </row>
    <row r="21" spans="1:20" ht="17.45" customHeight="1" x14ac:dyDescent="0.25">
      <c r="A21" s="696" t="s">
        <v>1387</v>
      </c>
      <c r="B21" s="697">
        <f>_xlfn.XLOOKUP(model, tblSigma5PT[Model], tblSigma5PT[Acceleration], 0, 0, 1)</f>
        <v>0</v>
      </c>
      <c r="C21" s="212" t="s">
        <v>457</v>
      </c>
      <c r="G21" s="5" t="s">
        <v>643</v>
      </c>
      <c r="H21" s="249" t="e">
        <f ca="1">MAXA(Time4!B4:I4,Time4!B13:I13,Time4!B22:I22)</f>
        <v>#N/A</v>
      </c>
      <c r="I21" s="2" t="e">
        <f ca="1">IF(MRMS&gt;RMSTQ,"OK","EXCESS")</f>
        <v>#N/A</v>
      </c>
      <c r="L21" s="208">
        <f ca="1">INDIRECT("'" &amp; $A$101 &amp; "'!D21")</f>
        <v>72</v>
      </c>
      <c r="M21" s="53" t="e">
        <f ca="1">INDIRECT("'" &amp; $A$101 &amp; "'!D22")</f>
        <v>#N/A</v>
      </c>
      <c r="N21" s="53" t="e">
        <f ca="1">INDIRECT("'" &amp; $A$101 &amp; "'!N22")</f>
        <v>#N/A</v>
      </c>
      <c r="O21" s="53" t="e">
        <f ca="1">INDIRECT("'" &amp; $A$101 &amp; "'!D28")</f>
        <v>#N/A</v>
      </c>
      <c r="P21" s="53" t="e">
        <f t="shared" ca="1" si="0"/>
        <v>#N/A</v>
      </c>
      <c r="Q21" s="55" t="e">
        <f ca="1">INDIRECT("'" &amp; $A$101 &amp; "'!D26")</f>
        <v>#N/A</v>
      </c>
      <c r="R21" s="53" t="e">
        <f ca="1">INDIRECT("'" &amp; $A$101 &amp; "'!N28")</f>
        <v>#N/A</v>
      </c>
      <c r="S21" s="619" t="e">
        <f t="shared" ca="1" si="1"/>
        <v>#N/A</v>
      </c>
      <c r="T21" s="580" t="e">
        <f ca="1">INDIRECT("'" &amp; $A$101 &amp; "'!N26")</f>
        <v>#N/A</v>
      </c>
    </row>
    <row r="22" spans="1:20" ht="17.45" customHeight="1" x14ac:dyDescent="0.25">
      <c r="A22" s="5" t="s">
        <v>462</v>
      </c>
      <c r="B22" s="14" t="e">
        <f>VLOOKUP(model,LookupSigma5FeedPT,3,FALSE)</f>
        <v>#N/A</v>
      </c>
      <c r="C22" s="212" t="s">
        <v>463</v>
      </c>
      <c r="D22" s="5" t="s">
        <v>464</v>
      </c>
      <c r="E22" s="14" t="e">
        <f>VLOOKUP(model,LookupSigma5FeedPT,5,FALSE)</f>
        <v>#N/A</v>
      </c>
      <c r="F22" s="212" t="s">
        <v>465</v>
      </c>
      <c r="G22" s="5" t="s">
        <v>644</v>
      </c>
      <c r="H22" s="249" t="e">
        <f ca="1">MAXA(Time4!L4:S4,Time4!L13:S13,Time4!L22:S22)</f>
        <v>#N/A</v>
      </c>
      <c r="I22" s="2" t="e">
        <f ca="1">IF(MRMS&gt;RMSTQ_2,"OK","EXCESS")</f>
        <v>#N/A</v>
      </c>
      <c r="L22" s="208">
        <f ca="1">INDIRECT("'" &amp; $A$101 &amp; "'!E21")</f>
        <v>76</v>
      </c>
      <c r="M22" s="53" t="e">
        <f ca="1">INDIRECT("'" &amp; $A$101 &amp; "'!E22")</f>
        <v>#N/A</v>
      </c>
      <c r="N22" s="53" t="e">
        <f ca="1">INDIRECT("'" &amp; $A$101 &amp; "'!O22")</f>
        <v>#N/A</v>
      </c>
      <c r="O22" s="53" t="e">
        <f ca="1">INDIRECT("'" &amp; $A$101 &amp; "'!E28")</f>
        <v>#N/A</v>
      </c>
      <c r="P22" s="53" t="e">
        <f t="shared" ca="1" si="0"/>
        <v>#N/A</v>
      </c>
      <c r="Q22" s="55" t="e">
        <f ca="1">INDIRECT("'" &amp; $A$101 &amp; "'!E26")</f>
        <v>#N/A</v>
      </c>
      <c r="R22" s="53" t="e">
        <f ca="1">INDIRECT("'" &amp; $A$101 &amp; "'!O28")</f>
        <v>#N/A</v>
      </c>
      <c r="S22" s="619" t="e">
        <f t="shared" ca="1" si="1"/>
        <v>#N/A</v>
      </c>
      <c r="T22" s="580" t="e">
        <f ca="1">INDIRECT("'" &amp; $A$101 &amp; "'!O26")</f>
        <v>#N/A</v>
      </c>
    </row>
    <row r="23" spans="1:20" ht="17.45" customHeight="1" x14ac:dyDescent="0.25">
      <c r="A23" s="5" t="s">
        <v>467</v>
      </c>
      <c r="B23" s="371" t="e">
        <f>VLOOKUP(model,LookupSigma5FeedPT,4,FALSE)</f>
        <v>#N/A</v>
      </c>
      <c r="C23" s="369" t="s">
        <v>461</v>
      </c>
      <c r="D23" s="5" t="s">
        <v>468</v>
      </c>
      <c r="E23" s="14" t="e">
        <f>VLOOKUP(model,LookupSigma5FeedPT,6,FALSE)</f>
        <v>#N/A</v>
      </c>
      <c r="F23" s="212" t="s">
        <v>465</v>
      </c>
      <c r="G23" s="5" t="s">
        <v>478</v>
      </c>
      <c r="H23" s="249" t="e">
        <f ca="1">(((reflin*RPM)/(9.55*ACCTM_2))/(VLOOKUP(model,LookupSigma5FeedPT,9,FALSE))+((MINT*RPM)/(9.55*ACCTM_2)))</f>
        <v>#N/A</v>
      </c>
      <c r="I23" s="2" t="e">
        <f ca="1">IF(ACCTQ_2&lt;MPEAK,"OK","EXCESS")</f>
        <v>#N/A</v>
      </c>
      <c r="L23" s="208">
        <f ca="1">INDIRECT("'" &amp; $A$101 &amp; "'!F21")</f>
        <v>80</v>
      </c>
      <c r="M23" s="53" t="e">
        <f ca="1">INDIRECT("'" &amp; $A$101 &amp; "'!F22")</f>
        <v>#N/A</v>
      </c>
      <c r="N23" s="53" t="e">
        <f ca="1">INDIRECT("'" &amp; $A$101 &amp; "'!P22")</f>
        <v>#N/A</v>
      </c>
      <c r="O23" s="53" t="e">
        <f ca="1">INDIRECT("'" &amp; $A$101 &amp; "'!F28")</f>
        <v>#N/A</v>
      </c>
      <c r="P23" s="53" t="e">
        <f t="shared" ca="1" si="0"/>
        <v>#N/A</v>
      </c>
      <c r="Q23" s="55" t="e">
        <f ca="1">INDIRECT("'" &amp; $A$101 &amp; "'!F26")</f>
        <v>#N/A</v>
      </c>
      <c r="R23" s="53" t="e">
        <f ca="1">INDIRECT("'" &amp; $A$101 &amp; "'!P28")</f>
        <v>#N/A</v>
      </c>
      <c r="S23" s="619" t="e">
        <f t="shared" ca="1" si="1"/>
        <v>#N/A</v>
      </c>
      <c r="T23" s="580" t="e">
        <f ca="1">INDIRECT("'" &amp; $A$101 &amp; "'!P26")</f>
        <v>#N/A</v>
      </c>
    </row>
    <row r="24" spans="1:20" ht="17.45" customHeight="1" x14ac:dyDescent="0.25">
      <c r="A24" s="5" t="s">
        <v>1129</v>
      </c>
      <c r="B24" s="6" t="e">
        <f>MRPM/RATIO*(VLOOKUP(model,LookupSigma5FeedPT,13,FALSE)*PI()/720)*60</f>
        <v>#N/A</v>
      </c>
      <c r="C24" s="212" t="s">
        <v>452</v>
      </c>
      <c r="D24" s="5" t="s">
        <v>470</v>
      </c>
      <c r="E24" s="249" t="e">
        <f>((VLOOKUP(model,LookupSigma5FeedPT,12,FALSE))*0.5*B20)/RATIO</f>
        <v>#N/A</v>
      </c>
      <c r="F24" s="212" t="s">
        <v>465</v>
      </c>
      <c r="G24" s="16" t="s">
        <v>216</v>
      </c>
      <c r="H24" s="372" t="e">
        <f>(0.667*YLD*MATWIDTH*(MatThickness^2)/CNT.DIS)*K_CONST*(VLOOKUP(model,LookupSigma5FeedPT,12,FALSE))*0.125/RATIO/(VLOOKUP(model,LookupSigma5FeedPT,9,FALSE))</f>
        <v>#N/A</v>
      </c>
      <c r="I24" s="2" t="e">
        <f>IF(STR_TO&lt;MRMS*0.9,"OK", IF(STR_TO&lt;MRMS, "WARNING", "EXCESS"))</f>
        <v>#N/A</v>
      </c>
      <c r="L24" s="208">
        <f ca="1">INDIRECT("'" &amp; $A$101 &amp; "'!G21")</f>
        <v>84</v>
      </c>
      <c r="M24" s="53" t="e">
        <f ca="1">INDIRECT("'" &amp; $A$101 &amp; "'!G22")</f>
        <v>#N/A</v>
      </c>
      <c r="N24" s="53" t="e">
        <f ca="1">INDIRECT("'" &amp; $A$101 &amp; "'!Q22")</f>
        <v>#N/A</v>
      </c>
      <c r="O24" s="53" t="e">
        <f ca="1">INDIRECT("'" &amp; $A$101 &amp; "'!G28")</f>
        <v>#N/A</v>
      </c>
      <c r="P24" s="53" t="e">
        <f t="shared" ca="1" si="0"/>
        <v>#N/A</v>
      </c>
      <c r="Q24" s="55" t="e">
        <f ca="1">INDIRECT("'" &amp; $A$101 &amp; "'!G26")</f>
        <v>#N/A</v>
      </c>
      <c r="R24" s="53" t="e">
        <f ca="1">INDIRECT("'" &amp; $A$101 &amp; "'!Q28")</f>
        <v>#N/A</v>
      </c>
      <c r="S24" s="619" t="e">
        <f t="shared" ca="1" si="1"/>
        <v>#N/A</v>
      </c>
      <c r="T24" s="580" t="e">
        <f ca="1">INDIRECT("'" &amp; $A$101 &amp; "'!Q26")</f>
        <v>#N/A</v>
      </c>
    </row>
    <row r="25" spans="1:20" ht="17.45" customHeight="1" x14ac:dyDescent="0.25">
      <c r="A25" s="5" t="s">
        <v>472</v>
      </c>
      <c r="B25" s="5" t="e">
        <f>IF(MATCH&lt;10, 0.035, 0.06)</f>
        <v>#N/A</v>
      </c>
      <c r="C25" s="212" t="s">
        <v>473</v>
      </c>
      <c r="D25" s="5" t="s">
        <v>474</v>
      </c>
      <c r="E25" s="6" t="e">
        <f>((B15*C15*E15*F15*0.5)*(VLOOKUP(model,LookupSigma5FeedPT,12))*0.5)/RATIO/VLOOKUP(model,LookupSigma5FeedPT,9)</f>
        <v>#N/A</v>
      </c>
      <c r="F25" s="212" t="s">
        <v>465</v>
      </c>
      <c r="I25" s="23" t="e">
        <f ca="1">IF(AND(MPEAK&gt;PEAKTQ,MRMS&gt;RMSTQ,MRMS&gt;RMSTQ_2,ACCTQ&lt;MPEAK,width&gt;=MATWIDTH),"OK","NOT OK")</f>
        <v>#N/A</v>
      </c>
      <c r="L25" s="208">
        <f ca="1">INDIRECT("'" &amp; $A$101 &amp; "'!H21")</f>
        <v>88</v>
      </c>
      <c r="M25" s="53" t="e">
        <f ca="1">INDIRECT("'" &amp; $A$101 &amp; "'!H22")</f>
        <v>#N/A</v>
      </c>
      <c r="N25" s="53" t="e">
        <f ca="1">INDIRECT("'" &amp; $A$101 &amp; "'!R22")</f>
        <v>#N/A</v>
      </c>
      <c r="O25" s="53" t="e">
        <f ca="1">INDIRECT("'" &amp; $A$101 &amp; "'!H28")</f>
        <v>#N/A</v>
      </c>
      <c r="P25" s="53" t="e">
        <f t="shared" ca="1" si="0"/>
        <v>#N/A</v>
      </c>
      <c r="Q25" s="55" t="e">
        <f ca="1">INDIRECT("'" &amp; $A$101 &amp; "'!H26")</f>
        <v>#N/A</v>
      </c>
      <c r="R25" s="53" t="e">
        <f ca="1">INDIRECT("'" &amp; $A$101 &amp; "'!R28")</f>
        <v>#N/A</v>
      </c>
      <c r="S25" s="619" t="e">
        <f t="shared" ca="1" si="1"/>
        <v>#N/A</v>
      </c>
      <c r="T25" s="580" t="e">
        <f ca="1">INDIRECT("'" &amp; $A$101 &amp; "'!R26")</f>
        <v>#N/A</v>
      </c>
    </row>
    <row r="26" spans="1:20" ht="17.45" customHeight="1" thickBot="1" x14ac:dyDescent="0.3">
      <c r="A26" s="5" t="s">
        <v>224</v>
      </c>
      <c r="B26" s="373" t="e">
        <f>VLOOKUP(model,LookupSigma5FeedPT,2,FALSE)</f>
        <v>#N/A</v>
      </c>
      <c r="C26" s="212" t="s">
        <v>476</v>
      </c>
      <c r="D26" s="5" t="s">
        <v>477</v>
      </c>
      <c r="E26" s="5" t="e">
        <f>VLOOKUP(model,LookupSigma5FeedPT,7)</f>
        <v>#N/A</v>
      </c>
      <c r="F26" s="212" t="s">
        <v>465</v>
      </c>
      <c r="G26" s="5" t="s">
        <v>645</v>
      </c>
      <c r="H26" s="249" t="e">
        <f ca="1">regen</f>
        <v>#N/A</v>
      </c>
      <c r="I26" s="369" t="s">
        <v>459</v>
      </c>
      <c r="L26" s="232">
        <f ca="1">INDIRECT("'" &amp; $A$101 &amp; "'!I21")</f>
        <v>92</v>
      </c>
      <c r="M26" s="233" t="e">
        <f ca="1">INDIRECT("'" &amp; $A$101 &amp; "'!I22")</f>
        <v>#N/A</v>
      </c>
      <c r="N26" s="233" t="e">
        <f ca="1">INDIRECT("'" &amp; $A$101 &amp; "'!S22")</f>
        <v>#N/A</v>
      </c>
      <c r="O26" s="233" t="e">
        <f ca="1">INDIRECT("'" &amp; $A$101 &amp; "'!I28")</f>
        <v>#N/A</v>
      </c>
      <c r="P26" s="233" t="e">
        <f t="shared" ca="1" si="0"/>
        <v>#N/A</v>
      </c>
      <c r="Q26" s="234" t="e">
        <f ca="1">INDIRECT("'" &amp; $A$101 &amp; "'!I26")</f>
        <v>#N/A</v>
      </c>
      <c r="R26" s="233" t="e">
        <f ca="1">INDIRECT("'" &amp; $A$101 &amp; "'!S28")</f>
        <v>#N/A</v>
      </c>
      <c r="S26" s="389" t="e">
        <f t="shared" ca="1" si="1"/>
        <v>#N/A</v>
      </c>
      <c r="T26" s="618" t="e">
        <f ca="1">INDIRECT("'" &amp; $A$101 &amp; "'!S26")</f>
        <v>#N/A</v>
      </c>
    </row>
    <row r="27" spans="1:20" ht="15.75" customHeight="1" x14ac:dyDescent="0.25"/>
    <row r="53" spans="1:24" x14ac:dyDescent="0.25">
      <c r="F53" s="2"/>
      <c r="G53" s="2"/>
      <c r="H53" s="2"/>
      <c r="I53" s="2"/>
    </row>
    <row r="54" spans="1:24" x14ac:dyDescent="0.25">
      <c r="B54" s="2"/>
      <c r="C54" s="2"/>
      <c r="D54" s="2"/>
      <c r="E54" s="2"/>
      <c r="F54" s="2"/>
      <c r="G54" s="2"/>
      <c r="H54" s="2"/>
      <c r="I54" s="2"/>
    </row>
    <row r="55" spans="1:24" x14ac:dyDescent="0.25">
      <c r="B55" s="2"/>
      <c r="C55" s="2"/>
      <c r="D55" s="2"/>
      <c r="E55" s="2"/>
      <c r="F55" s="2"/>
      <c r="G55" s="2"/>
      <c r="H55" s="2"/>
      <c r="I55" s="2"/>
    </row>
    <row r="56" spans="1:24" x14ac:dyDescent="0.25">
      <c r="B56" s="2"/>
      <c r="C56" s="2"/>
      <c r="D56" s="2"/>
      <c r="E56" s="2"/>
      <c r="F56" s="2"/>
      <c r="G56" s="2"/>
      <c r="H56" s="2"/>
      <c r="I56" s="2"/>
    </row>
    <row r="57" spans="1:24" x14ac:dyDescent="0.25">
      <c r="B57" s="2"/>
      <c r="C57" s="2"/>
      <c r="D57" s="2"/>
      <c r="E57" s="2"/>
      <c r="F57" s="2"/>
      <c r="G57" s="2"/>
      <c r="H57" s="2"/>
      <c r="I57" s="2"/>
    </row>
    <row r="58" spans="1:24" x14ac:dyDescent="0.25">
      <c r="B58" s="2"/>
      <c r="C58" s="2"/>
      <c r="D58" s="2"/>
      <c r="E58" s="2"/>
      <c r="F58" s="2"/>
      <c r="G58" s="2"/>
      <c r="H58" s="2"/>
      <c r="I58" s="2"/>
    </row>
    <row r="59" spans="1:24" x14ac:dyDescent="0.25">
      <c r="B59" s="2"/>
      <c r="C59" s="2"/>
      <c r="D59" s="2"/>
      <c r="E59" s="2"/>
      <c r="F59" s="2"/>
      <c r="G59" s="2"/>
      <c r="H59" s="2"/>
      <c r="I59" s="2"/>
    </row>
    <row r="60" spans="1:24" hidden="1" x14ac:dyDescent="0.25">
      <c r="B60" s="2"/>
      <c r="C60" s="2"/>
      <c r="D60" s="2"/>
      <c r="E60" s="2"/>
      <c r="F60" s="2"/>
      <c r="G60" s="2"/>
      <c r="H60" s="2"/>
      <c r="I60" s="2"/>
    </row>
    <row r="61" spans="1:24" hidden="1" x14ac:dyDescent="0.25"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</row>
    <row r="62" spans="1:24" ht="15.75" hidden="1" x14ac:dyDescent="0.25">
      <c r="A62" s="547" t="s">
        <v>1001</v>
      </c>
      <c r="B62" s="251"/>
      <c r="C62" s="251"/>
      <c r="D62" s="251"/>
      <c r="E62" s="251"/>
      <c r="I62"/>
    </row>
    <row r="63" spans="1:24" ht="15.75" hidden="1" x14ac:dyDescent="0.25">
      <c r="A63" t="s">
        <v>160</v>
      </c>
      <c r="B63" s="548" t="s">
        <v>1002</v>
      </c>
      <c r="C63" s="251"/>
      <c r="D63" s="251"/>
      <c r="E63" s="251"/>
    </row>
    <row r="64" spans="1:24" ht="15.75" hidden="1" x14ac:dyDescent="0.25">
      <c r="A64" s="235" t="s">
        <v>647</v>
      </c>
      <c r="B64" s="431" t="e">
        <f ca="1">Inertia4!$M$41</f>
        <v>#N/A</v>
      </c>
      <c r="C64" s="251"/>
      <c r="D64" s="581"/>
      <c r="E64" s="251"/>
      <c r="F64" s="23"/>
      <c r="G64" s="432"/>
      <c r="H64" s="431"/>
      <c r="I64" s="434"/>
      <c r="J64" s="431"/>
      <c r="K64" s="432"/>
      <c r="L64" s="431"/>
      <c r="M64" s="431"/>
      <c r="N64" s="543"/>
      <c r="O64" s="543"/>
      <c r="P64" s="543"/>
      <c r="Q64" s="430"/>
      <c r="R64" s="430"/>
      <c r="S64" s="430"/>
      <c r="T64" s="240"/>
      <c r="W64" s="240"/>
      <c r="X64" s="236"/>
    </row>
    <row r="65" spans="1:23" ht="15.75" hidden="1" x14ac:dyDescent="0.25">
      <c r="A65" s="235" t="s">
        <v>1018</v>
      </c>
      <c r="B65" s="431" t="e">
        <f ca="1">Inertia4!$B$41</f>
        <v>#N/A</v>
      </c>
      <c r="C65" s="251"/>
      <c r="D65" s="251"/>
      <c r="E65" s="251"/>
      <c r="F65" s="23"/>
      <c r="G65" s="432"/>
      <c r="H65" s="431"/>
      <c r="I65" s="434"/>
      <c r="J65" s="431"/>
      <c r="K65" s="432"/>
      <c r="L65" s="431"/>
      <c r="M65" s="431"/>
      <c r="N65" s="543"/>
      <c r="O65" s="543"/>
      <c r="P65" s="543"/>
      <c r="Q65" s="430"/>
      <c r="R65" s="430"/>
      <c r="S65" s="430"/>
      <c r="T65" s="240"/>
      <c r="W65" s="240"/>
    </row>
    <row r="66" spans="1:23" ht="15.75" hidden="1" x14ac:dyDescent="0.25">
      <c r="A66" s="235" t="s">
        <v>648</v>
      </c>
      <c r="B66" s="431" t="e">
        <f ca="1">Inertia4!$X$41</f>
        <v>#N/A</v>
      </c>
      <c r="C66" s="251"/>
      <c r="D66" s="251"/>
      <c r="E66" s="251"/>
      <c r="F66" s="23"/>
      <c r="G66" s="432"/>
      <c r="H66" s="431"/>
      <c r="I66" s="434"/>
      <c r="J66" s="431"/>
      <c r="K66" s="432"/>
      <c r="L66" s="431"/>
      <c r="M66" s="431"/>
      <c r="N66" s="543"/>
      <c r="O66" s="543"/>
      <c r="P66" s="543"/>
      <c r="Q66" s="430"/>
      <c r="R66" s="430"/>
      <c r="S66" s="430"/>
      <c r="T66" s="240"/>
      <c r="W66" s="240"/>
    </row>
    <row r="67" spans="1:23" ht="15.75" hidden="1" x14ac:dyDescent="0.25">
      <c r="A67" s="235" t="s">
        <v>1019</v>
      </c>
      <c r="B67" s="431" t="e">
        <f ca="1">Inertia4!$AI$41</f>
        <v>#N/A</v>
      </c>
      <c r="C67" s="251"/>
      <c r="D67" s="251"/>
      <c r="E67" s="251"/>
      <c r="F67" s="23"/>
      <c r="G67" s="432"/>
      <c r="H67" s="431"/>
      <c r="I67" s="434"/>
      <c r="J67" s="431"/>
      <c r="K67" s="432"/>
      <c r="L67" s="431"/>
      <c r="M67" s="431"/>
      <c r="N67" s="543"/>
      <c r="O67" s="543"/>
      <c r="P67" s="543"/>
      <c r="Q67" s="430"/>
      <c r="R67" s="430"/>
      <c r="S67" s="430"/>
      <c r="T67" s="240"/>
      <c r="W67" s="240"/>
    </row>
    <row r="68" spans="1:23" ht="15.75" hidden="1" x14ac:dyDescent="0.25">
      <c r="A68" s="235" t="s">
        <v>649</v>
      </c>
      <c r="B68" s="431" t="e">
        <f ca="1">Inertia4!$AT$43</f>
        <v>#N/A</v>
      </c>
      <c r="C68" s="251"/>
      <c r="D68" s="251"/>
      <c r="E68" s="251"/>
      <c r="F68" s="23"/>
      <c r="G68" s="432"/>
      <c r="H68" s="431"/>
      <c r="I68" s="434"/>
      <c r="J68" s="431"/>
      <c r="K68" s="432"/>
      <c r="L68" s="431"/>
      <c r="M68" s="431"/>
      <c r="N68" s="543"/>
      <c r="O68" s="543"/>
      <c r="P68" s="543"/>
      <c r="Q68" s="430"/>
      <c r="R68" s="430"/>
      <c r="S68" s="430"/>
      <c r="T68" s="239"/>
      <c r="W68" s="240"/>
    </row>
    <row r="69" spans="1:23" ht="15.75" hidden="1" x14ac:dyDescent="0.25">
      <c r="A69" s="235" t="s">
        <v>650</v>
      </c>
      <c r="B69" s="431" t="e">
        <f ca="1">Inertia4!$BE$43</f>
        <v>#N/A</v>
      </c>
      <c r="C69" s="251"/>
      <c r="D69" s="251"/>
      <c r="E69" s="251"/>
      <c r="F69" s="23"/>
      <c r="G69" s="432"/>
      <c r="H69" s="431"/>
      <c r="I69" s="434"/>
      <c r="J69" s="431"/>
      <c r="K69" s="432"/>
      <c r="L69" s="431"/>
      <c r="M69" s="431"/>
      <c r="N69" s="543"/>
      <c r="O69" s="543"/>
      <c r="P69" s="543"/>
      <c r="Q69" s="430"/>
      <c r="R69" s="430"/>
      <c r="S69" s="430"/>
      <c r="T69" s="239"/>
      <c r="W69" s="240"/>
    </row>
    <row r="70" spans="1:23" ht="15.75" hidden="1" x14ac:dyDescent="0.25">
      <c r="A70" s="235" t="s">
        <v>651</v>
      </c>
      <c r="B70" s="431" t="e">
        <f ca="1">Inertia4!$BP$43</f>
        <v>#N/A</v>
      </c>
      <c r="C70" s="251"/>
      <c r="D70" s="251"/>
      <c r="E70" s="251"/>
      <c r="F70" s="23"/>
      <c r="G70" s="432"/>
      <c r="H70" s="431"/>
      <c r="I70" s="434"/>
      <c r="J70" s="431"/>
      <c r="K70" s="432"/>
      <c r="L70" s="431"/>
      <c r="M70" s="431"/>
      <c r="N70" s="543"/>
      <c r="O70" s="543"/>
      <c r="P70" s="543"/>
      <c r="Q70" s="430"/>
      <c r="R70" s="430"/>
      <c r="S70" s="430"/>
      <c r="T70" s="239"/>
      <c r="W70" s="240"/>
    </row>
    <row r="71" spans="1:23" ht="15.75" hidden="1" x14ac:dyDescent="0.25">
      <c r="A71" s="235" t="s">
        <v>652</v>
      </c>
      <c r="B71" s="431" t="e">
        <f ca="1">Inertia4!$CA$43</f>
        <v>#N/A</v>
      </c>
      <c r="C71" s="251"/>
      <c r="D71" s="251"/>
      <c r="E71" s="251"/>
      <c r="F71" s="23"/>
      <c r="G71" s="432"/>
      <c r="H71" s="431"/>
      <c r="I71" s="434"/>
      <c r="J71" s="431"/>
      <c r="K71" s="432"/>
      <c r="L71" s="431"/>
      <c r="M71" s="431"/>
      <c r="N71" s="543"/>
      <c r="O71" s="543"/>
      <c r="P71" s="543"/>
      <c r="Q71" s="430"/>
      <c r="R71" s="430"/>
      <c r="S71" s="430"/>
      <c r="T71" s="239"/>
      <c r="W71" s="240"/>
    </row>
    <row r="72" spans="1:23" ht="15.75" hidden="1" x14ac:dyDescent="0.25">
      <c r="A72" s="235" t="s">
        <v>653</v>
      </c>
      <c r="B72" s="431" t="e">
        <f ca="1">Inertia4!$CL$43</f>
        <v>#N/A</v>
      </c>
      <c r="C72" s="251"/>
      <c r="D72" s="251"/>
      <c r="E72" s="251"/>
      <c r="F72" s="23"/>
      <c r="G72" s="432"/>
      <c r="H72" s="431"/>
      <c r="I72" s="434"/>
      <c r="J72" s="431"/>
      <c r="K72" s="432"/>
      <c r="L72" s="431"/>
      <c r="M72" s="431"/>
      <c r="N72" s="543"/>
      <c r="O72" s="543"/>
      <c r="P72" s="543"/>
      <c r="Q72" s="430"/>
      <c r="R72" s="430"/>
      <c r="S72" s="430"/>
      <c r="T72" s="239"/>
      <c r="W72" s="240"/>
    </row>
    <row r="73" spans="1:23" ht="15.75" hidden="1" x14ac:dyDescent="0.25">
      <c r="A73" s="235" t="s">
        <v>654</v>
      </c>
      <c r="B73" s="431" t="e">
        <f ca="1">Inertia4!$DH$46</f>
        <v>#N/A</v>
      </c>
      <c r="C73" s="251"/>
      <c r="D73" s="251"/>
      <c r="E73" s="251"/>
      <c r="F73" s="23"/>
      <c r="G73" s="432"/>
      <c r="H73" s="431"/>
      <c r="I73" s="434"/>
      <c r="J73" s="431"/>
      <c r="K73" s="432"/>
      <c r="L73" s="431"/>
      <c r="M73" s="431"/>
      <c r="N73" s="543"/>
      <c r="O73" s="543"/>
      <c r="P73" s="543"/>
      <c r="Q73" s="430"/>
      <c r="R73" s="430"/>
      <c r="S73" s="430"/>
      <c r="T73" s="239"/>
      <c r="W73" s="240"/>
    </row>
    <row r="74" spans="1:23" ht="15.75" hidden="1" x14ac:dyDescent="0.25">
      <c r="A74" s="235" t="s">
        <v>657</v>
      </c>
      <c r="B74" s="431" t="e">
        <f ca="1">Inertia4!$CW$46</f>
        <v>#N/A</v>
      </c>
      <c r="C74" s="251"/>
      <c r="D74" s="251"/>
      <c r="E74" s="251"/>
      <c r="F74" s="23"/>
      <c r="G74" s="432"/>
      <c r="H74" s="431"/>
      <c r="I74" s="434"/>
      <c r="J74" s="431"/>
      <c r="K74" s="432"/>
      <c r="L74" s="431"/>
      <c r="M74" s="431"/>
      <c r="N74" s="543"/>
      <c r="O74" s="543"/>
      <c r="P74" s="543"/>
      <c r="Q74" s="430"/>
      <c r="R74" s="430"/>
      <c r="S74" s="430"/>
      <c r="T74" s="239"/>
      <c r="W74" s="240"/>
    </row>
    <row r="75" spans="1:23" ht="15.75" hidden="1" x14ac:dyDescent="0.25">
      <c r="A75" s="235" t="s">
        <v>814</v>
      </c>
      <c r="B75" s="431" t="e">
        <f ca="1">Inertia4!$DS$46</f>
        <v>#N/A</v>
      </c>
      <c r="C75" s="251"/>
      <c r="D75" s="251"/>
      <c r="E75" s="251"/>
      <c r="F75" s="23"/>
      <c r="G75" s="432"/>
      <c r="H75" s="431"/>
      <c r="I75" s="434"/>
      <c r="J75" s="431"/>
      <c r="K75" s="432"/>
      <c r="L75" s="431"/>
      <c r="M75" s="431"/>
      <c r="N75" s="543"/>
      <c r="O75" s="543"/>
      <c r="P75" s="543"/>
      <c r="Q75" s="430"/>
      <c r="R75" s="430"/>
      <c r="S75" s="430"/>
      <c r="T75" s="239"/>
      <c r="W75" s="240"/>
    </row>
    <row r="76" spans="1:23" ht="15.75" hidden="1" x14ac:dyDescent="0.25">
      <c r="A76" s="235" t="s">
        <v>813</v>
      </c>
      <c r="B76" s="431" t="e">
        <f ca="1">Inertia4!$ED$46</f>
        <v>#N/A</v>
      </c>
      <c r="C76" s="251"/>
      <c r="D76" s="251"/>
      <c r="E76" s="251"/>
      <c r="F76" s="23"/>
      <c r="G76" s="432"/>
      <c r="H76" s="431"/>
      <c r="I76" s="434"/>
      <c r="J76" s="431"/>
      <c r="K76" s="432"/>
      <c r="L76" s="431"/>
      <c r="M76" s="431"/>
      <c r="N76" s="543"/>
      <c r="O76" s="543"/>
      <c r="P76" s="543"/>
      <c r="Q76" s="430"/>
      <c r="R76" s="430"/>
      <c r="S76" s="430"/>
      <c r="T76" s="239"/>
      <c r="W76" s="240"/>
    </row>
    <row r="77" spans="1:23" ht="15.75" hidden="1" x14ac:dyDescent="0.25">
      <c r="A77" s="235" t="s">
        <v>812</v>
      </c>
      <c r="B77" s="431" t="e">
        <f ca="1">Inertia4!$EO$46</f>
        <v>#N/A</v>
      </c>
      <c r="C77" s="251"/>
      <c r="D77" s="251"/>
      <c r="E77" s="251"/>
      <c r="F77" s="23"/>
      <c r="G77" s="432"/>
      <c r="H77" s="431"/>
      <c r="I77" s="434"/>
      <c r="J77" s="431"/>
      <c r="K77" s="432"/>
      <c r="L77" s="431"/>
      <c r="M77" s="431"/>
      <c r="N77" s="543"/>
      <c r="O77" s="543"/>
      <c r="P77" s="543"/>
      <c r="Q77" s="430"/>
      <c r="R77" s="430"/>
      <c r="S77" s="430"/>
      <c r="T77" s="239"/>
      <c r="W77" s="240"/>
    </row>
    <row r="78" spans="1:23" ht="15.75" hidden="1" x14ac:dyDescent="0.25">
      <c r="A78" s="235" t="s">
        <v>811</v>
      </c>
      <c r="B78" s="431" t="e">
        <f ca="1">Inertia4!$EZ$46</f>
        <v>#N/A</v>
      </c>
      <c r="C78" s="251"/>
      <c r="D78" s="251"/>
      <c r="E78" s="251"/>
      <c r="F78" s="23"/>
      <c r="G78" s="432"/>
      <c r="H78" s="431"/>
      <c r="I78" s="432"/>
      <c r="J78" s="431"/>
      <c r="K78" s="432"/>
      <c r="L78" s="431"/>
      <c r="M78" s="431"/>
      <c r="N78" s="543"/>
      <c r="O78" s="543"/>
      <c r="P78" s="543"/>
      <c r="Q78" s="430"/>
      <c r="R78" s="430"/>
      <c r="S78" s="430"/>
      <c r="T78" s="239"/>
    </row>
    <row r="79" spans="1:23" ht="15.75" hidden="1" x14ac:dyDescent="0.25">
      <c r="A79" s="235" t="s">
        <v>810</v>
      </c>
      <c r="B79" s="431" t="e">
        <f ca="1">Inertia4!$FK$46</f>
        <v>#N/A</v>
      </c>
      <c r="C79" s="258"/>
      <c r="D79" s="258"/>
      <c r="E79" s="258"/>
      <c r="F79" s="23"/>
      <c r="G79" s="432"/>
      <c r="H79" s="431"/>
      <c r="I79" s="432"/>
      <c r="J79" s="431"/>
      <c r="K79" s="432"/>
      <c r="L79" s="431"/>
      <c r="M79" s="431"/>
      <c r="N79" s="543"/>
      <c r="O79" s="543"/>
      <c r="P79" s="543"/>
      <c r="Q79" s="430"/>
      <c r="R79" s="430"/>
      <c r="S79" s="430"/>
      <c r="T79" s="239"/>
    </row>
    <row r="80" spans="1:23" ht="15.75" hidden="1" x14ac:dyDescent="0.25">
      <c r="A80" s="235" t="s">
        <v>809</v>
      </c>
      <c r="B80" s="431" t="e">
        <f ca="1">Inertia4!$FV$46</f>
        <v>#N/A</v>
      </c>
      <c r="C80" s="258"/>
      <c r="D80" s="258"/>
      <c r="E80" s="258"/>
      <c r="F80" s="23"/>
      <c r="G80" s="432"/>
      <c r="H80" s="431"/>
      <c r="I80" s="432"/>
      <c r="J80" s="431"/>
      <c r="K80" s="432"/>
      <c r="L80" s="431"/>
      <c r="M80" s="431"/>
      <c r="N80" s="543"/>
      <c r="O80" s="543"/>
      <c r="P80" s="543"/>
      <c r="Q80" s="430"/>
      <c r="R80" s="430"/>
      <c r="S80" s="430"/>
      <c r="T80" s="239"/>
    </row>
    <row r="81" spans="1:16" hidden="1" x14ac:dyDescent="0.25"/>
    <row r="82" spans="1:16" hidden="1" x14ac:dyDescent="0.25"/>
    <row r="83" spans="1:16" ht="15.75" hidden="1" x14ac:dyDescent="0.25">
      <c r="A83" s="374"/>
      <c r="B83" s="242"/>
      <c r="C83" s="338"/>
      <c r="D83" s="375"/>
      <c r="E83" s="338"/>
      <c r="F83" s="5" t="s">
        <v>517</v>
      </c>
      <c r="G83" s="5" t="e">
        <f>((vel*720)/(VLOOKUP(model,LookupSigma5FeedPT,12,FALSE)*PI()))*RATIO</f>
        <v>#N/A</v>
      </c>
      <c r="H83" s="2" t="e">
        <f>IF(RPM&gt;MRPM,"EXCESS","OK")</f>
        <v>#N/A</v>
      </c>
      <c r="I83" s="338"/>
      <c r="J83" s="242" t="s">
        <v>946</v>
      </c>
      <c r="K83">
        <f>StrMaxSp*12</f>
        <v>504</v>
      </c>
      <c r="O83" s="239"/>
      <c r="P83" s="239"/>
    </row>
    <row r="84" spans="1:16" ht="15.75" hidden="1" x14ac:dyDescent="0.25">
      <c r="A84" s="374"/>
      <c r="B84" s="242"/>
      <c r="C84" s="245"/>
      <c r="D84" s="375"/>
      <c r="E84" s="245"/>
      <c r="F84" s="245"/>
      <c r="G84" s="245"/>
      <c r="H84" s="245"/>
      <c r="I84" s="245"/>
      <c r="J84" s="566" t="s">
        <v>949</v>
      </c>
      <c r="K84" s="237" t="e">
        <f>MRPM/RATIO*(VLOOKUP(model,LookupSigma5FeedPT,13,FALSE)*PI()/720)</f>
        <v>#N/A</v>
      </c>
      <c r="O84" s="239"/>
      <c r="P84" s="239"/>
    </row>
    <row r="85" spans="1:16" ht="15.75" hidden="1" x14ac:dyDescent="0.25">
      <c r="A85" s="248"/>
      <c r="B85" s="245"/>
      <c r="C85" s="245"/>
      <c r="D85" s="245"/>
      <c r="E85" s="245"/>
      <c r="F85" s="245"/>
      <c r="G85" s="376" t="s">
        <v>662</v>
      </c>
      <c r="H85" s="377" t="e">
        <f ca="1">(((reflin*RPM)/(9.55*ACCTM))/(VLOOKUP(model,LookupSigma5FeedPT,9,FALSE))+((MINT*RPM)/(9.55*ACCTM)))</f>
        <v>#N/A</v>
      </c>
      <c r="I85" s="245"/>
      <c r="J85" s="245"/>
      <c r="O85" t="s">
        <v>1006</v>
      </c>
    </row>
    <row r="86" spans="1:16" hidden="1" x14ac:dyDescent="0.25">
      <c r="A86" s="241"/>
      <c r="B86" s="548"/>
      <c r="C86" s="548"/>
      <c r="D86" s="548"/>
      <c r="E86" s="548"/>
      <c r="F86" s="549"/>
      <c r="G86" s="550"/>
      <c r="H86" s="551"/>
      <c r="I86" s="552"/>
      <c r="J86" s="553"/>
    </row>
    <row r="87" spans="1:16" hidden="1" x14ac:dyDescent="0.25">
      <c r="A87" s="241"/>
      <c r="B87" s="548"/>
      <c r="C87" s="548"/>
      <c r="D87" s="548"/>
      <c r="E87" s="548"/>
      <c r="F87" s="554"/>
      <c r="G87" s="550"/>
      <c r="H87" s="551"/>
      <c r="I87" s="552"/>
      <c r="J87" s="553"/>
    </row>
    <row r="88" spans="1:16" hidden="1" x14ac:dyDescent="0.25">
      <c r="F88" s="555"/>
      <c r="G88" s="550"/>
      <c r="H88" s="551"/>
      <c r="I88" s="555"/>
      <c r="J88" s="555"/>
    </row>
    <row r="89" spans="1:16" hidden="1" x14ac:dyDescent="0.25">
      <c r="F89" s="554"/>
      <c r="G89" s="550"/>
      <c r="H89" s="551"/>
      <c r="I89" s="552"/>
      <c r="J89" s="553"/>
    </row>
    <row r="90" spans="1:16" hidden="1" x14ac:dyDescent="0.25">
      <c r="F90" s="554"/>
      <c r="G90" s="550"/>
      <c r="H90" s="551"/>
      <c r="I90" s="552"/>
      <c r="J90" s="553"/>
    </row>
    <row r="91" spans="1:16" hidden="1" x14ac:dyDescent="0.25">
      <c r="F91" s="555"/>
      <c r="G91" s="550"/>
      <c r="H91" s="551"/>
      <c r="I91" s="555"/>
      <c r="J91" s="555"/>
    </row>
    <row r="92" spans="1:16" hidden="1" x14ac:dyDescent="0.25">
      <c r="F92" s="554"/>
      <c r="G92" s="550"/>
      <c r="H92" s="551"/>
      <c r="I92" s="552"/>
      <c r="J92" s="553"/>
    </row>
    <row r="93" spans="1:16" hidden="1" x14ac:dyDescent="0.25">
      <c r="F93" s="554"/>
      <c r="G93" s="550"/>
      <c r="H93" s="551"/>
      <c r="I93" s="552"/>
      <c r="J93" s="553"/>
    </row>
    <row r="94" spans="1:16" hidden="1" x14ac:dyDescent="0.25">
      <c r="F94" s="555"/>
      <c r="G94" s="550"/>
      <c r="H94" s="551"/>
      <c r="I94" s="555"/>
      <c r="J94" s="555"/>
    </row>
    <row r="95" spans="1:16" hidden="1" x14ac:dyDescent="0.25">
      <c r="F95" s="554"/>
      <c r="G95" s="550"/>
      <c r="H95" s="551"/>
      <c r="I95" s="552"/>
      <c r="J95" s="553"/>
    </row>
    <row r="96" spans="1:16" hidden="1" x14ac:dyDescent="0.25">
      <c r="F96" s="554"/>
      <c r="G96" s="550"/>
      <c r="H96" s="551"/>
      <c r="I96" s="552"/>
      <c r="J96" s="553"/>
    </row>
    <row r="97" spans="1:10" hidden="1" x14ac:dyDescent="0.25">
      <c r="F97" s="555"/>
      <c r="G97" s="550"/>
      <c r="H97" s="551"/>
      <c r="I97" s="555"/>
      <c r="J97" s="555"/>
    </row>
    <row r="98" spans="1:10" hidden="1" x14ac:dyDescent="0.25">
      <c r="F98" s="554"/>
      <c r="G98" s="550"/>
      <c r="H98" s="551"/>
      <c r="I98" s="552"/>
      <c r="J98" s="553"/>
    </row>
    <row r="99" spans="1:10" hidden="1" x14ac:dyDescent="0.25">
      <c r="F99" s="554"/>
      <c r="G99" s="550"/>
      <c r="H99" s="551"/>
      <c r="I99" s="552"/>
      <c r="J99" s="553"/>
    </row>
    <row r="100" spans="1:10" hidden="1" x14ac:dyDescent="0.25">
      <c r="F100" s="555"/>
      <c r="G100" s="550"/>
      <c r="H100" s="551"/>
      <c r="I100" s="555"/>
      <c r="J100" s="555"/>
    </row>
    <row r="101" spans="1:10" hidden="1" x14ac:dyDescent="0.25">
      <c r="A101" s="600" t="s">
        <v>1020</v>
      </c>
      <c r="B101" s="600"/>
      <c r="F101" s="554"/>
      <c r="G101" s="550"/>
      <c r="H101" s="551"/>
      <c r="I101" s="552"/>
      <c r="J101" s="553"/>
    </row>
    <row r="102" spans="1:10" hidden="1" x14ac:dyDescent="0.25">
      <c r="A102" s="600" t="s">
        <v>908</v>
      </c>
      <c r="B102" s="600" t="e">
        <f ca="1">INDIRECT("'" &amp; A$101 &amp; "'!" &amp; A102)</f>
        <v>#N/A</v>
      </c>
      <c r="F102" s="554"/>
      <c r="G102" s="550"/>
      <c r="H102" s="551"/>
      <c r="I102" s="552"/>
      <c r="J102" s="553"/>
    </row>
    <row r="103" spans="1:10" hidden="1" x14ac:dyDescent="0.25">
      <c r="A103" s="600" t="s">
        <v>909</v>
      </c>
      <c r="B103" s="600" t="e">
        <f t="shared" ref="B103:B111" ca="1" si="2">INDIRECT("'" &amp; A$101 &amp; "'!" &amp; A103)</f>
        <v>#N/A</v>
      </c>
      <c r="F103" s="555"/>
      <c r="G103" s="550"/>
      <c r="H103" s="551"/>
      <c r="I103" s="555"/>
      <c r="J103" s="555"/>
    </row>
    <row r="104" spans="1:10" hidden="1" x14ac:dyDescent="0.25">
      <c r="A104" s="600" t="s">
        <v>912</v>
      </c>
      <c r="B104" s="600" t="e">
        <f t="shared" ca="1" si="2"/>
        <v>#N/A</v>
      </c>
      <c r="F104" s="555"/>
      <c r="G104" s="550"/>
      <c r="H104" s="551"/>
      <c r="I104" s="552"/>
      <c r="J104" s="553"/>
    </row>
    <row r="105" spans="1:10" hidden="1" x14ac:dyDescent="0.25">
      <c r="A105" s="600" t="s">
        <v>913</v>
      </c>
      <c r="B105" s="600" t="e">
        <f t="shared" ca="1" si="2"/>
        <v>#N/A</v>
      </c>
      <c r="F105" s="242"/>
      <c r="G105" s="242"/>
      <c r="H105" s="242"/>
      <c r="I105" s="242"/>
      <c r="J105" s="242"/>
    </row>
    <row r="106" spans="1:10" hidden="1" x14ac:dyDescent="0.25">
      <c r="A106" s="600" t="s">
        <v>915</v>
      </c>
      <c r="B106" s="600" t="e">
        <f t="shared" ca="1" si="2"/>
        <v>#N/A</v>
      </c>
      <c r="F106" s="242"/>
      <c r="G106" s="242"/>
      <c r="H106" s="242"/>
      <c r="I106" s="242"/>
      <c r="J106" s="242"/>
    </row>
    <row r="107" spans="1:10" hidden="1" x14ac:dyDescent="0.25">
      <c r="A107" s="602" t="s">
        <v>916</v>
      </c>
      <c r="B107" s="603" t="e">
        <f t="shared" ca="1" si="2"/>
        <v>#N/A</v>
      </c>
      <c r="C107" s="555"/>
      <c r="D107" s="555"/>
      <c r="E107" s="555"/>
      <c r="F107" s="555"/>
      <c r="G107" s="555"/>
      <c r="H107" s="555"/>
      <c r="I107" s="555"/>
      <c r="J107" s="555"/>
    </row>
    <row r="108" spans="1:10" hidden="1" x14ac:dyDescent="0.25">
      <c r="A108" s="602" t="s">
        <v>918</v>
      </c>
      <c r="B108" s="604" t="e">
        <f t="shared" ca="1" si="2"/>
        <v>#N/A</v>
      </c>
      <c r="C108" s="554"/>
      <c r="D108" s="554"/>
      <c r="E108" s="554"/>
      <c r="F108" s="554"/>
      <c r="G108" s="555"/>
      <c r="H108" s="554"/>
      <c r="I108" s="554"/>
      <c r="J108" s="554"/>
    </row>
    <row r="109" spans="1:10" hidden="1" x14ac:dyDescent="0.25">
      <c r="A109" s="602" t="s">
        <v>919</v>
      </c>
      <c r="B109" s="604" t="e">
        <f t="shared" ca="1" si="2"/>
        <v>#N/A</v>
      </c>
      <c r="C109" s="554"/>
      <c r="D109" s="554"/>
      <c r="E109" s="554"/>
      <c r="F109" s="554"/>
      <c r="G109" s="555"/>
      <c r="H109" s="554"/>
      <c r="I109" s="554"/>
      <c r="J109" s="554"/>
    </row>
    <row r="110" spans="1:10" hidden="1" x14ac:dyDescent="0.25">
      <c r="A110" s="602" t="s">
        <v>932</v>
      </c>
      <c r="B110" s="604" t="e">
        <f t="shared" ca="1" si="2"/>
        <v>#N/A</v>
      </c>
      <c r="C110" s="554"/>
      <c r="D110" s="554"/>
      <c r="E110" s="554"/>
      <c r="F110" s="554"/>
      <c r="G110" s="555"/>
      <c r="H110" s="554"/>
      <c r="I110" s="554"/>
      <c r="J110" s="554"/>
    </row>
    <row r="111" spans="1:10" hidden="1" x14ac:dyDescent="0.25">
      <c r="A111" s="602" t="s">
        <v>933</v>
      </c>
      <c r="B111" s="603" t="e">
        <f t="shared" ca="1" si="2"/>
        <v>#N/A</v>
      </c>
      <c r="C111" s="555"/>
      <c r="D111" s="555"/>
      <c r="E111" s="554"/>
      <c r="F111" s="554"/>
      <c r="G111" s="555"/>
      <c r="H111" s="554"/>
      <c r="I111" s="554"/>
      <c r="J111" s="554"/>
    </row>
    <row r="112" spans="1:10" hidden="1" x14ac:dyDescent="0.25">
      <c r="A112" s="602"/>
      <c r="B112" s="603"/>
      <c r="C112" s="555"/>
      <c r="D112" s="555"/>
      <c r="E112" s="555"/>
      <c r="F112" s="555"/>
      <c r="G112" s="555"/>
      <c r="H112" s="555"/>
      <c r="I112" s="555"/>
      <c r="J112" s="555"/>
    </row>
    <row r="113" spans="1:10" hidden="1" x14ac:dyDescent="0.25">
      <c r="A113" s="602"/>
      <c r="B113" s="603"/>
      <c r="C113" s="555"/>
      <c r="D113" s="555"/>
      <c r="E113" s="555"/>
      <c r="F113" s="555"/>
      <c r="G113" s="555"/>
      <c r="H113" s="555"/>
      <c r="I113" s="555"/>
      <c r="J113" s="555"/>
    </row>
    <row r="114" spans="1:10" hidden="1" x14ac:dyDescent="0.25">
      <c r="A114" s="602" t="s">
        <v>1022</v>
      </c>
      <c r="B114" s="604"/>
      <c r="C114" s="554"/>
      <c r="D114" s="554"/>
      <c r="E114" s="554"/>
      <c r="F114" s="554"/>
      <c r="G114" s="554"/>
      <c r="H114" s="554"/>
      <c r="I114" s="554"/>
      <c r="J114" s="554"/>
    </row>
    <row r="115" spans="1:10" hidden="1" x14ac:dyDescent="0.25">
      <c r="A115" s="602" t="s">
        <v>917</v>
      </c>
      <c r="B115" s="604" t="e">
        <f ca="1">INDIRECT("'" &amp; A$114 &amp; "'!" &amp; A115)</f>
        <v>#N/A</v>
      </c>
      <c r="C115" s="554"/>
      <c r="D115" s="554"/>
      <c r="E115" s="554"/>
      <c r="F115" s="554"/>
      <c r="G115" s="558"/>
      <c r="H115" s="559"/>
      <c r="I115" s="554"/>
      <c r="J115" s="559"/>
    </row>
    <row r="116" spans="1:10" hidden="1" x14ac:dyDescent="0.25">
      <c r="A116" s="602" t="s">
        <v>490</v>
      </c>
      <c r="B116" s="604" t="e">
        <f t="shared" ref="B116:B123" ca="1" si="3">INDIRECT("'" &amp; A$114 &amp; "'!" &amp; A116)</f>
        <v>#N/A</v>
      </c>
      <c r="C116" s="555"/>
      <c r="D116" s="555"/>
      <c r="E116" s="555"/>
      <c r="F116" s="555"/>
      <c r="G116" s="555"/>
      <c r="H116" s="555"/>
      <c r="I116" s="555"/>
      <c r="J116" s="555"/>
    </row>
    <row r="117" spans="1:10" hidden="1" x14ac:dyDescent="0.25">
      <c r="A117" s="602" t="s">
        <v>920</v>
      </c>
      <c r="B117" s="604" t="e">
        <f t="shared" ca="1" si="3"/>
        <v>#N/A</v>
      </c>
      <c r="C117" s="555"/>
      <c r="D117" s="555"/>
      <c r="E117" s="555"/>
      <c r="F117" s="555"/>
      <c r="G117" s="555"/>
      <c r="H117" s="555"/>
      <c r="I117" s="555"/>
      <c r="J117" s="555"/>
    </row>
    <row r="118" spans="1:10" hidden="1" x14ac:dyDescent="0.25">
      <c r="A118" s="602" t="s">
        <v>921</v>
      </c>
      <c r="B118" s="603" t="e">
        <f t="shared" ca="1" si="3"/>
        <v>#N/A</v>
      </c>
      <c r="C118" s="555"/>
      <c r="D118" s="555"/>
      <c r="E118" s="555"/>
      <c r="F118" s="555"/>
      <c r="G118" s="555"/>
      <c r="H118" s="555"/>
      <c r="I118" s="555"/>
      <c r="J118" s="555"/>
    </row>
    <row r="119" spans="1:10" hidden="1" x14ac:dyDescent="0.25">
      <c r="A119" s="602" t="s">
        <v>922</v>
      </c>
      <c r="B119" s="603" t="e">
        <f t="shared" ca="1" si="3"/>
        <v>#N/A</v>
      </c>
      <c r="C119" s="555"/>
      <c r="D119" s="555"/>
      <c r="E119" s="555"/>
      <c r="F119" s="555"/>
      <c r="G119" s="555"/>
      <c r="H119" s="555"/>
      <c r="I119" s="555"/>
      <c r="J119" s="555"/>
    </row>
    <row r="120" spans="1:10" hidden="1" x14ac:dyDescent="0.25">
      <c r="A120" s="602" t="s">
        <v>928</v>
      </c>
      <c r="B120" s="605" t="e">
        <f t="shared" ca="1" si="3"/>
        <v>#N/A</v>
      </c>
      <c r="C120" s="555"/>
      <c r="D120" s="555"/>
      <c r="E120" s="555"/>
      <c r="F120" s="555"/>
      <c r="G120" s="555"/>
      <c r="H120" s="555"/>
      <c r="I120" s="555"/>
      <c r="J120" s="555"/>
    </row>
    <row r="121" spans="1:10" hidden="1" x14ac:dyDescent="0.25">
      <c r="A121" s="600" t="s">
        <v>939</v>
      </c>
      <c r="B121" s="600" t="e">
        <f t="shared" ca="1" si="3"/>
        <v>#N/A</v>
      </c>
    </row>
    <row r="122" spans="1:10" hidden="1" x14ac:dyDescent="0.25">
      <c r="A122" s="600" t="s">
        <v>947</v>
      </c>
      <c r="B122" s="600" t="e">
        <f t="shared" ca="1" si="3"/>
        <v>#N/A</v>
      </c>
    </row>
    <row r="123" spans="1:10" hidden="1" x14ac:dyDescent="0.25">
      <c r="A123" s="600" t="s">
        <v>948</v>
      </c>
      <c r="B123" s="600" t="e">
        <f t="shared" ca="1" si="3"/>
        <v>#N/A</v>
      </c>
    </row>
    <row r="124" spans="1:10" hidden="1" x14ac:dyDescent="0.25"/>
    <row r="125" spans="1:10" hidden="1" x14ac:dyDescent="0.25"/>
  </sheetData>
  <sheetProtection algorithmName="SHA-512" hashValue="Grp+lMWyWPASqeWfa42a7hvC9goTTOTMpNoRhZa5MM+s+50IjFsuvhVISPQXODYeEPtB5pjKPYybEwyUMpM+1g==" saltValue="72wk2vTBt/WxLqvCNxODzQ==" spinCount="100000" sheet="1" objects="1" scenarios="1"/>
  <mergeCells count="7">
    <mergeCell ref="A14:A15"/>
    <mergeCell ref="M1:N1"/>
    <mergeCell ref="B4:D4"/>
    <mergeCell ref="B5:D5"/>
    <mergeCell ref="B6:D6"/>
    <mergeCell ref="H12:I12"/>
    <mergeCell ref="B9:C9"/>
  </mergeCells>
  <conditionalFormatting sqref="I19:I24">
    <cfRule type="expression" dxfId="10" priority="4">
      <formula>I19="OK"</formula>
    </cfRule>
    <cfRule type="expression" dxfId="9" priority="5">
      <formula>I19="EXCESS"</formula>
    </cfRule>
  </conditionalFormatting>
  <conditionalFormatting sqref="I25">
    <cfRule type="cellIs" dxfId="8" priority="2" stopIfTrue="1" operator="notEqual">
      <formula>"OK"</formula>
    </cfRule>
    <cfRule type="cellIs" dxfId="7" priority="3" operator="equal">
      <formula>"OK"</formula>
    </cfRule>
  </conditionalFormatting>
  <conditionalFormatting sqref="B10">
    <cfRule type="cellIs" dxfId="6" priority="1" operator="lessThan">
      <formula>MATWIDTH</formula>
    </cfRule>
  </conditionalFormatting>
  <pageMargins left="0.75" right="0.25" top="0.75" bottom="0.75" header="0.3" footer="0.3"/>
  <pageSetup scale="58" orientation="landscape" r:id="rId1"/>
  <rowBreaks count="1" manualBreakCount="1">
    <brk id="20" max="16383" man="1"/>
  </rowBreaks>
  <colBreaks count="1" manualBreakCount="1">
    <brk id="23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1863" r:id="rId4" name="Button 7">
              <controlPr defaultSize="0" print="0" autoFill="0" autoPict="0" macro="[0]!Tbl_Contents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1581150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95E7C7-148C-4AD2-B747-47D142F4F691}">
  <sheetPr codeName="Sheet38">
    <tabColor rgb="FFFF0000"/>
  </sheetPr>
  <dimension ref="A1:L45"/>
  <sheetViews>
    <sheetView topLeftCell="A34" workbookViewId="0">
      <selection activeCell="A41" sqref="A41:F45"/>
    </sheetView>
  </sheetViews>
  <sheetFormatPr defaultRowHeight="15" x14ac:dyDescent="0.25"/>
  <cols>
    <col min="7" max="7" width="0" hidden="1" customWidth="1"/>
  </cols>
  <sheetData>
    <row r="1" spans="1:12" x14ac:dyDescent="0.25">
      <c r="A1" s="263" t="s">
        <v>519</v>
      </c>
      <c r="B1" s="264"/>
      <c r="C1" s="264"/>
      <c r="D1" s="264"/>
      <c r="E1" s="264"/>
      <c r="F1" s="264"/>
      <c r="G1" s="264"/>
      <c r="H1" s="264"/>
      <c r="I1" s="1011" t="s">
        <v>520</v>
      </c>
      <c r="J1" s="1012"/>
      <c r="K1" s="1013"/>
      <c r="L1" s="265"/>
    </row>
    <row r="2" spans="1:12" x14ac:dyDescent="0.25">
      <c r="A2" s="266" t="s">
        <v>521</v>
      </c>
      <c r="B2" s="265"/>
      <c r="C2" s="267" t="s">
        <v>522</v>
      </c>
      <c r="D2" s="265"/>
      <c r="E2" s="265"/>
      <c r="F2" s="265"/>
      <c r="G2" s="265"/>
      <c r="H2" s="265" t="s">
        <v>523</v>
      </c>
      <c r="I2" s="1014"/>
      <c r="J2" s="1015"/>
      <c r="K2" s="1016"/>
      <c r="L2" s="265"/>
    </row>
    <row r="3" spans="1:12" ht="15.75" thickBot="1" x14ac:dyDescent="0.3">
      <c r="A3" s="268"/>
      <c r="B3" s="269"/>
      <c r="C3" s="269"/>
      <c r="D3" s="269"/>
      <c r="E3" s="269"/>
      <c r="F3" s="269"/>
      <c r="G3" s="269"/>
      <c r="H3" s="269"/>
      <c r="I3" s="1017"/>
      <c r="J3" s="1018"/>
      <c r="K3" s="1019"/>
      <c r="L3" s="265"/>
    </row>
    <row r="4" spans="1:12" x14ac:dyDescent="0.25">
      <c r="A4" s="265"/>
      <c r="B4" s="265"/>
      <c r="C4" s="265"/>
      <c r="D4" s="265"/>
      <c r="E4" s="265"/>
      <c r="F4" s="265"/>
      <c r="G4" s="265"/>
      <c r="H4" s="270"/>
      <c r="I4" s="265"/>
      <c r="J4" s="265"/>
      <c r="K4" s="265"/>
      <c r="L4" s="265"/>
    </row>
    <row r="5" spans="1:12" x14ac:dyDescent="0.25">
      <c r="A5" s="271"/>
      <c r="B5" s="272" t="s">
        <v>524</v>
      </c>
      <c r="C5" s="273"/>
      <c r="D5" s="273"/>
      <c r="E5" s="273"/>
      <c r="F5" s="273"/>
      <c r="G5" s="273"/>
      <c r="H5" s="273"/>
      <c r="I5" s="274"/>
      <c r="J5" s="270"/>
      <c r="K5" s="265"/>
      <c r="L5" s="265"/>
    </row>
    <row r="6" spans="1:12" ht="15.75" thickBot="1" x14ac:dyDescent="0.3">
      <c r="A6" s="275"/>
      <c r="B6" s="265"/>
      <c r="C6" s="265"/>
      <c r="D6" s="265"/>
      <c r="E6" s="265"/>
      <c r="F6" s="265"/>
      <c r="G6" s="265"/>
      <c r="H6" s="265"/>
      <c r="I6" s="276"/>
      <c r="J6" s="265"/>
      <c r="K6" s="265"/>
      <c r="L6" s="265"/>
    </row>
    <row r="7" spans="1:12" x14ac:dyDescent="0.25">
      <c r="A7" s="275"/>
      <c r="B7" s="1020" t="s">
        <v>525</v>
      </c>
      <c r="C7" s="1023" t="s">
        <v>526</v>
      </c>
      <c r="D7" s="1023" t="s">
        <v>527</v>
      </c>
      <c r="E7" s="1020" t="s">
        <v>528</v>
      </c>
      <c r="F7" s="1023" t="s">
        <v>529</v>
      </c>
      <c r="G7" s="277"/>
      <c r="H7" s="1020" t="s">
        <v>530</v>
      </c>
      <c r="I7" s="276"/>
      <c r="J7" s="265"/>
      <c r="K7" s="265"/>
      <c r="L7" s="265"/>
    </row>
    <row r="8" spans="1:12" x14ac:dyDescent="0.25">
      <c r="A8" s="275"/>
      <c r="B8" s="1021"/>
      <c r="C8" s="1024"/>
      <c r="D8" s="1026"/>
      <c r="E8" s="1021"/>
      <c r="F8" s="1026"/>
      <c r="G8" s="278"/>
      <c r="H8" s="1021"/>
      <c r="I8" s="276"/>
      <c r="J8" s="265"/>
      <c r="K8" s="265"/>
      <c r="L8" s="265"/>
    </row>
    <row r="9" spans="1:12" ht="15.75" thickBot="1" x14ac:dyDescent="0.3">
      <c r="A9" s="275"/>
      <c r="B9" s="1022"/>
      <c r="C9" s="1025"/>
      <c r="D9" s="1027"/>
      <c r="E9" s="1022"/>
      <c r="F9" s="1027"/>
      <c r="G9" s="279" t="s">
        <v>531</v>
      </c>
      <c r="H9" s="1022"/>
      <c r="I9" s="276"/>
      <c r="J9" s="265"/>
      <c r="K9" s="265"/>
      <c r="L9" s="265"/>
    </row>
    <row r="10" spans="1:12" ht="15.75" thickBot="1" x14ac:dyDescent="0.3">
      <c r="A10" s="275"/>
      <c r="B10" s="280"/>
      <c r="C10" s="281" t="e">
        <f ca="1">MATCH</f>
        <v>#N/A</v>
      </c>
      <c r="D10" s="282" t="e">
        <f ca="1">MINT*0.112943</f>
        <v>#N/A</v>
      </c>
      <c r="E10" s="283" t="e">
        <f ca="1">(D10+(C10*D10))</f>
        <v>#N/A</v>
      </c>
      <c r="F10" s="284" t="e">
        <f ca="1">RPM</f>
        <v>#N/A</v>
      </c>
      <c r="G10" s="285" t="e">
        <f ca="1">((C10*D10)+D10)*(F10*2*PI()/60/#REF!)*F10/63025*746*#REF!</f>
        <v>#N/A</v>
      </c>
      <c r="H10" s="285" t="e">
        <f ca="1">(Tint*(RPM^2))/182</f>
        <v>#N/A</v>
      </c>
      <c r="I10" s="276"/>
      <c r="J10" s="265"/>
      <c r="K10" s="265"/>
      <c r="L10" s="265"/>
    </row>
    <row r="11" spans="1:12" x14ac:dyDescent="0.25">
      <c r="A11" s="286"/>
      <c r="B11" s="287"/>
      <c r="C11" s="287"/>
      <c r="D11" s="288"/>
      <c r="E11" s="289"/>
      <c r="F11" s="287"/>
      <c r="G11" s="290"/>
      <c r="H11" s="290"/>
      <c r="I11" s="291"/>
      <c r="J11" s="265"/>
      <c r="K11" s="265"/>
      <c r="L11" s="265"/>
    </row>
    <row r="12" spans="1:12" x14ac:dyDescent="0.25">
      <c r="A12" s="292"/>
      <c r="B12" s="272" t="s">
        <v>532</v>
      </c>
      <c r="C12" s="273"/>
      <c r="D12" s="273"/>
      <c r="E12" s="273"/>
      <c r="F12" s="273"/>
      <c r="G12" s="273"/>
      <c r="H12" s="274"/>
      <c r="I12" s="265"/>
      <c r="J12" s="265"/>
      <c r="K12" s="265"/>
      <c r="L12" s="265"/>
    </row>
    <row r="13" spans="1:12" ht="15.75" thickBot="1" x14ac:dyDescent="0.3">
      <c r="A13" s="275"/>
      <c r="B13" s="265"/>
      <c r="C13" s="265"/>
      <c r="D13" s="265"/>
      <c r="E13" s="265"/>
      <c r="F13" s="265"/>
      <c r="G13" s="265"/>
      <c r="H13" s="276"/>
      <c r="I13" s="265"/>
      <c r="J13" s="265"/>
      <c r="K13" s="265"/>
      <c r="L13" s="265"/>
    </row>
    <row r="14" spans="1:12" ht="15.75" thickBot="1" x14ac:dyDescent="0.3">
      <c r="A14" s="293"/>
      <c r="B14" s="1033" t="s">
        <v>533</v>
      </c>
      <c r="C14" s="1033" t="s">
        <v>534</v>
      </c>
      <c r="D14" s="1020" t="s">
        <v>535</v>
      </c>
      <c r="E14" s="265"/>
      <c r="F14" s="265"/>
      <c r="G14" s="265"/>
      <c r="H14" s="276"/>
      <c r="I14" s="294" t="s">
        <v>536</v>
      </c>
      <c r="J14" s="295" t="s">
        <v>537</v>
      </c>
      <c r="K14" s="295"/>
      <c r="L14" s="295"/>
    </row>
    <row r="15" spans="1:12" ht="15.75" thickBot="1" x14ac:dyDescent="0.3">
      <c r="A15" s="296"/>
      <c r="B15" s="1033"/>
      <c r="C15" s="1033"/>
      <c r="D15" s="1021"/>
      <c r="E15" s="265"/>
      <c r="F15" s="265"/>
      <c r="G15" s="265"/>
      <c r="H15" s="276"/>
      <c r="I15" s="265"/>
      <c r="J15" s="295" t="s">
        <v>538</v>
      </c>
      <c r="K15" s="295"/>
      <c r="L15" s="295"/>
    </row>
    <row r="16" spans="1:12" ht="15.75" thickBot="1" x14ac:dyDescent="0.3">
      <c r="A16" s="297"/>
      <c r="B16" s="1033"/>
      <c r="C16" s="1033"/>
      <c r="D16" s="1022"/>
      <c r="E16" s="265"/>
      <c r="F16" s="298" t="s">
        <v>539</v>
      </c>
      <c r="G16" s="299"/>
      <c r="H16" s="300"/>
      <c r="I16" s="265"/>
      <c r="J16" s="295" t="s">
        <v>540</v>
      </c>
      <c r="K16" s="295"/>
      <c r="L16" s="295"/>
    </row>
    <row r="17" spans="1:12" ht="15.75" thickBot="1" x14ac:dyDescent="0.3">
      <c r="A17" s="296"/>
      <c r="B17" s="301" t="e">
        <f ca="1">ACCTM</f>
        <v>#N/A</v>
      </c>
      <c r="C17" s="302" t="e">
        <f ca="1">VLOOKUP(MODEL,LookupSigma5Feed,18)</f>
        <v>#N/A</v>
      </c>
      <c r="D17" s="303" t="e">
        <f ca="1" xml:space="preserve"> DecTm*LostWatts</f>
        <v>#N/A</v>
      </c>
      <c r="E17" s="265"/>
      <c r="F17" s="265"/>
      <c r="G17" s="265"/>
      <c r="H17" s="276"/>
      <c r="I17" s="265"/>
      <c r="J17" s="295" t="s">
        <v>541</v>
      </c>
      <c r="K17" s="295"/>
      <c r="L17" s="295"/>
    </row>
    <row r="18" spans="1:12" x14ac:dyDescent="0.25">
      <c r="A18" s="286"/>
      <c r="B18" s="304"/>
      <c r="C18" s="305"/>
      <c r="D18" s="305"/>
      <c r="E18" s="305"/>
      <c r="F18" s="305"/>
      <c r="G18" s="305"/>
      <c r="H18" s="291"/>
      <c r="I18" s="265"/>
      <c r="J18" s="265"/>
      <c r="K18" s="265"/>
      <c r="L18" s="265"/>
    </row>
    <row r="19" spans="1:12" x14ac:dyDescent="0.25">
      <c r="A19" s="292"/>
      <c r="B19" s="272" t="s">
        <v>542</v>
      </c>
      <c r="C19" s="273"/>
      <c r="D19" s="306"/>
      <c r="E19" s="273"/>
      <c r="F19" s="274"/>
      <c r="G19" s="265"/>
      <c r="H19" s="265"/>
      <c r="I19" s="265"/>
      <c r="J19" s="265"/>
      <c r="K19" s="265"/>
      <c r="L19" s="265"/>
    </row>
    <row r="20" spans="1:12" ht="15.75" thickBot="1" x14ac:dyDescent="0.3">
      <c r="A20" s="275"/>
      <c r="B20" s="307"/>
      <c r="C20" s="265"/>
      <c r="D20" s="308"/>
      <c r="E20" s="265"/>
      <c r="F20" s="276"/>
      <c r="G20" s="265"/>
      <c r="H20" s="265"/>
      <c r="I20" s="265"/>
      <c r="J20" s="265"/>
      <c r="K20" s="265"/>
      <c r="L20" s="265"/>
    </row>
    <row r="21" spans="1:12" x14ac:dyDescent="0.25">
      <c r="A21" s="275"/>
      <c r="B21" s="1023" t="s">
        <v>543</v>
      </c>
      <c r="C21" s="265"/>
      <c r="D21" s="308"/>
      <c r="E21" s="265"/>
      <c r="F21" s="276"/>
      <c r="G21" s="265"/>
      <c r="H21" s="265"/>
      <c r="I21" s="265"/>
      <c r="J21" s="265"/>
      <c r="K21" s="265"/>
      <c r="L21" s="265"/>
    </row>
    <row r="22" spans="1:12" x14ac:dyDescent="0.25">
      <c r="A22" s="275"/>
      <c r="B22" s="1034"/>
      <c r="C22" s="265"/>
      <c r="D22" s="309" t="s">
        <v>544</v>
      </c>
      <c r="E22" s="295" t="s">
        <v>545</v>
      </c>
      <c r="F22" s="310"/>
      <c r="G22" s="265"/>
      <c r="H22" s="265"/>
      <c r="I22" s="265"/>
      <c r="J22" s="265"/>
      <c r="K22" s="265"/>
      <c r="L22" s="265"/>
    </row>
    <row r="23" spans="1:12" x14ac:dyDescent="0.25">
      <c r="A23" s="275"/>
      <c r="B23" s="1034"/>
      <c r="C23" s="265"/>
      <c r="D23" s="308"/>
      <c r="E23" s="295" t="s">
        <v>546</v>
      </c>
      <c r="F23" s="310"/>
      <c r="G23" s="265"/>
      <c r="H23" s="265"/>
      <c r="I23" s="265"/>
      <c r="J23" s="265"/>
      <c r="K23" s="265"/>
      <c r="L23" s="265"/>
    </row>
    <row r="24" spans="1:12" ht="15.75" thickBot="1" x14ac:dyDescent="0.3">
      <c r="A24" s="275"/>
      <c r="B24" s="1035"/>
      <c r="C24" s="265"/>
      <c r="D24" s="308"/>
      <c r="E24" s="265"/>
      <c r="F24" s="276"/>
      <c r="G24" s="265"/>
      <c r="H24" s="265"/>
      <c r="I24" s="265"/>
      <c r="J24" s="265"/>
      <c r="K24" s="265"/>
      <c r="L24" s="265"/>
    </row>
    <row r="25" spans="1:12" ht="15.75" thickBot="1" x14ac:dyDescent="0.3">
      <c r="A25" s="293"/>
      <c r="B25" s="311" t="e">
        <f ca="1">VLOOKUP(MODEL,LookupSigma5Feed,17)</f>
        <v>#N/A</v>
      </c>
      <c r="C25" s="265"/>
      <c r="E25" s="265"/>
      <c r="F25" s="312"/>
      <c r="G25" s="265"/>
      <c r="H25" s="265"/>
      <c r="I25" s="265"/>
      <c r="J25" s="265"/>
      <c r="K25" s="265"/>
      <c r="L25" s="265"/>
    </row>
    <row r="26" spans="1:12" x14ac:dyDescent="0.25">
      <c r="A26" s="286"/>
      <c r="B26" s="313"/>
      <c r="C26" s="305"/>
      <c r="D26" s="314"/>
      <c r="E26" s="305"/>
      <c r="F26" s="315"/>
      <c r="G26" s="265"/>
      <c r="H26" s="265"/>
      <c r="I26" s="265"/>
      <c r="J26" s="265"/>
      <c r="K26" s="265"/>
      <c r="L26" s="265"/>
    </row>
    <row r="27" spans="1:12" x14ac:dyDescent="0.25">
      <c r="A27" s="271"/>
      <c r="B27" s="272" t="s">
        <v>547</v>
      </c>
      <c r="C27" s="316" t="s">
        <v>548</v>
      </c>
      <c r="D27" s="1036" t="s">
        <v>549</v>
      </c>
      <c r="E27" s="1036"/>
      <c r="F27" s="317" t="s">
        <v>550</v>
      </c>
      <c r="G27" s="273"/>
      <c r="H27" s="274" t="s">
        <v>551</v>
      </c>
      <c r="I27" s="265"/>
      <c r="J27" s="265"/>
      <c r="K27" s="265"/>
      <c r="L27" s="265"/>
    </row>
    <row r="28" spans="1:12" x14ac:dyDescent="0.25">
      <c r="A28" s="296"/>
      <c r="B28" s="265"/>
      <c r="C28" s="265"/>
      <c r="D28" s="1030"/>
      <c r="E28" s="1030"/>
      <c r="F28" s="265"/>
      <c r="G28" s="265"/>
      <c r="H28" s="276"/>
      <c r="I28" s="265"/>
      <c r="J28" s="265"/>
      <c r="K28" s="265"/>
      <c r="L28" s="265"/>
    </row>
    <row r="29" spans="1:12" x14ac:dyDescent="0.25">
      <c r="A29" s="275"/>
      <c r="B29" s="265"/>
      <c r="C29" s="318" t="s">
        <v>552</v>
      </c>
      <c r="D29" s="1028" t="e">
        <f ca="1">Es</f>
        <v>#N/A</v>
      </c>
      <c r="E29" s="1028"/>
      <c r="F29" s="319" t="e">
        <f ca="1">Em</f>
        <v>#N/A</v>
      </c>
      <c r="G29" s="319"/>
      <c r="H29" s="320" t="e">
        <f ca="1">Ec</f>
        <v>#N/A</v>
      </c>
      <c r="I29" s="265"/>
      <c r="J29" s="265"/>
      <c r="K29" s="265"/>
      <c r="L29" s="265"/>
    </row>
    <row r="30" spans="1:12" x14ac:dyDescent="0.25">
      <c r="A30" s="321"/>
      <c r="B30" s="305"/>
      <c r="C30" s="322" t="s">
        <v>552</v>
      </c>
      <c r="D30" s="1029" t="e">
        <f ca="1">Es-(Em+Ec)</f>
        <v>#N/A</v>
      </c>
      <c r="E30" s="1029"/>
      <c r="F30" s="323" t="s">
        <v>553</v>
      </c>
      <c r="G30" s="305"/>
      <c r="H30" s="291"/>
      <c r="I30" s="265"/>
      <c r="J30" s="265"/>
      <c r="K30" s="265"/>
      <c r="L30" s="265"/>
    </row>
    <row r="31" spans="1:12" x14ac:dyDescent="0.25">
      <c r="A31" s="305"/>
      <c r="B31" s="1030"/>
      <c r="C31" s="1030"/>
      <c r="D31" s="1030"/>
      <c r="E31" s="1030"/>
      <c r="F31" s="1030"/>
      <c r="G31" s="1030"/>
      <c r="H31" s="1030"/>
      <c r="I31" s="265"/>
      <c r="J31" s="265"/>
      <c r="K31" s="265"/>
      <c r="L31" s="265"/>
    </row>
    <row r="32" spans="1:12" ht="15.75" thickBot="1" x14ac:dyDescent="0.3">
      <c r="A32" s="292"/>
      <c r="B32" s="316" t="s">
        <v>554</v>
      </c>
      <c r="C32" s="316"/>
      <c r="D32" s="324" t="s">
        <v>555</v>
      </c>
      <c r="E32" s="325"/>
      <c r="F32" s="326"/>
      <c r="G32" s="327"/>
      <c r="H32" s="265"/>
      <c r="I32" s="265"/>
      <c r="J32" s="265"/>
      <c r="K32" s="265"/>
      <c r="L32" s="265"/>
    </row>
    <row r="33" spans="1:12" ht="15.75" thickBot="1" x14ac:dyDescent="0.3">
      <c r="A33" s="275"/>
      <c r="B33" s="1031" t="s">
        <v>556</v>
      </c>
      <c r="C33" s="328"/>
      <c r="D33" s="265" t="s">
        <v>557</v>
      </c>
      <c r="E33" s="329" t="s">
        <v>558</v>
      </c>
      <c r="F33" s="330" t="e">
        <f ca="1">Ek/T</f>
        <v>#N/A</v>
      </c>
      <c r="G33" s="331" t="s">
        <v>459</v>
      </c>
      <c r="H33" s="265"/>
      <c r="I33" s="299" t="s">
        <v>559</v>
      </c>
      <c r="J33" s="299" t="s">
        <v>560</v>
      </c>
      <c r="K33" s="299"/>
      <c r="L33" s="265"/>
    </row>
    <row r="34" spans="1:12" ht="15.75" thickBot="1" x14ac:dyDescent="0.3">
      <c r="A34" s="293"/>
      <c r="B34" s="1031"/>
      <c r="C34" s="328"/>
      <c r="D34" s="265" t="s">
        <v>561</v>
      </c>
      <c r="E34" s="265"/>
      <c r="F34" s="276"/>
      <c r="G34" s="276"/>
      <c r="H34" s="265"/>
      <c r="I34" s="265"/>
      <c r="J34" s="299" t="s">
        <v>562</v>
      </c>
      <c r="K34" s="265"/>
      <c r="L34" s="265"/>
    </row>
    <row r="35" spans="1:12" ht="15.75" thickBot="1" x14ac:dyDescent="0.3">
      <c r="A35" s="296"/>
      <c r="B35" s="1032"/>
      <c r="C35" s="332"/>
      <c r="D35" s="265"/>
      <c r="E35" s="265"/>
      <c r="F35" s="276"/>
      <c r="G35" s="276"/>
      <c r="H35" s="265"/>
      <c r="I35" s="265"/>
      <c r="J35" s="265"/>
      <c r="K35" s="265"/>
      <c r="L35" s="265"/>
    </row>
    <row r="36" spans="1:12" ht="15.75" thickBot="1" x14ac:dyDescent="0.3">
      <c r="A36" s="297"/>
      <c r="B36" s="301" t="e">
        <f ca="1">CYCTM</f>
        <v>#N/A</v>
      </c>
      <c r="C36" s="332"/>
      <c r="D36" s="333" t="s">
        <v>563</v>
      </c>
      <c r="E36" s="329"/>
      <c r="F36" s="334"/>
      <c r="G36" s="276"/>
      <c r="H36" s="265"/>
      <c r="I36" s="265"/>
      <c r="J36" s="265"/>
      <c r="K36" s="265"/>
      <c r="L36" s="265"/>
    </row>
    <row r="37" spans="1:12" x14ac:dyDescent="0.25">
      <c r="A37" s="296"/>
      <c r="B37" s="335"/>
      <c r="C37" s="265"/>
      <c r="D37" s="336"/>
      <c r="E37" s="329" t="s">
        <v>564</v>
      </c>
      <c r="F37" s="330" t="e">
        <f ca="1">(Ek)/(0.2*T)</f>
        <v>#N/A</v>
      </c>
      <c r="G37" s="276" t="s">
        <v>565</v>
      </c>
      <c r="H37" s="265"/>
      <c r="I37" s="265"/>
      <c r="J37" s="265"/>
      <c r="K37" s="265"/>
      <c r="L37" s="265"/>
    </row>
    <row r="41" spans="1:12" x14ac:dyDescent="0.25">
      <c r="A41" s="600" t="s">
        <v>1020</v>
      </c>
      <c r="B41" s="600"/>
      <c r="C41" s="600"/>
      <c r="D41" s="600" t="s">
        <v>1021</v>
      </c>
      <c r="E41" s="600"/>
      <c r="F41" s="600"/>
    </row>
    <row r="42" spans="1:12" x14ac:dyDescent="0.25">
      <c r="A42" s="600" t="s">
        <v>908</v>
      </c>
      <c r="B42" s="600" t="e">
        <f ca="1">INDIRECT("'" &amp; A$41 &amp; "'!" &amp; A42)</f>
        <v>#N/A</v>
      </c>
      <c r="C42" s="600"/>
      <c r="D42" s="600" t="s">
        <v>466</v>
      </c>
      <c r="E42" s="600" t="e">
        <f ca="1">INDIRECT("'" &amp; D$41 &amp; "'!" &amp; D42)</f>
        <v>#N/A</v>
      </c>
      <c r="F42" s="600"/>
    </row>
    <row r="43" spans="1:12" x14ac:dyDescent="0.25">
      <c r="A43" s="600" t="s">
        <v>915</v>
      </c>
      <c r="B43" s="600" t="e">
        <f ca="1">INDIRECT("'" &amp; A$41 &amp; "'!" &amp; A43)</f>
        <v>#N/A</v>
      </c>
      <c r="C43" s="600"/>
      <c r="D43" s="600" t="s">
        <v>930</v>
      </c>
      <c r="E43" s="600" t="e">
        <f ca="1">INDIRECT("'" &amp; D$41 &amp; "'!" &amp; D43)</f>
        <v>#N/A</v>
      </c>
      <c r="F43" s="600"/>
    </row>
    <row r="44" spans="1:12" x14ac:dyDescent="0.25">
      <c r="A44" s="600"/>
      <c r="B44" s="600"/>
      <c r="C44" s="600"/>
      <c r="D44" s="600" t="s">
        <v>985</v>
      </c>
      <c r="E44" s="600">
        <f ca="1">INDIRECT("'" &amp; D$41 &amp; "'!" &amp; D44)</f>
        <v>0</v>
      </c>
      <c r="F44" s="600"/>
    </row>
    <row r="45" spans="1:12" x14ac:dyDescent="0.25">
      <c r="A45" s="600"/>
      <c r="B45" s="600"/>
      <c r="C45" s="600"/>
      <c r="D45" s="600" t="s">
        <v>517</v>
      </c>
      <c r="E45" s="600" t="e">
        <f ca="1">INDIRECT("'" &amp; D$41 &amp; "'!" &amp; D45)</f>
        <v>#N/A</v>
      </c>
      <c r="F45" s="600"/>
    </row>
  </sheetData>
  <mergeCells count="17">
    <mergeCell ref="D29:E29"/>
    <mergeCell ref="D30:E30"/>
    <mergeCell ref="B31:H31"/>
    <mergeCell ref="B33:B35"/>
    <mergeCell ref="B14:B16"/>
    <mergeCell ref="C14:C16"/>
    <mergeCell ref="D14:D16"/>
    <mergeCell ref="B21:B24"/>
    <mergeCell ref="D27:E27"/>
    <mergeCell ref="D28:E28"/>
    <mergeCell ref="I1:K3"/>
    <mergeCell ref="B7:B9"/>
    <mergeCell ref="C7:C9"/>
    <mergeCell ref="D7:D9"/>
    <mergeCell ref="E7:E9"/>
    <mergeCell ref="F7:F9"/>
    <mergeCell ref="H7:H9"/>
  </mergeCells>
  <pageMargins left="0.7" right="0.7" top="0.75" bottom="0.75" header="0.3" footer="0.3"/>
  <drawing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3F0D8-10D2-4A2E-A204-09AF7F87E43C}">
  <sheetPr codeName="Sheet39">
    <tabColor rgb="FFFF0000"/>
  </sheetPr>
  <dimension ref="A2:GD56"/>
  <sheetViews>
    <sheetView topLeftCell="A13" zoomScale="75" zoomScaleNormal="75" workbookViewId="0">
      <selection activeCell="A45" sqref="A45:B56"/>
    </sheetView>
  </sheetViews>
  <sheetFormatPr defaultRowHeight="15" x14ac:dyDescent="0.25"/>
  <cols>
    <col min="1" max="1" width="17.140625" customWidth="1"/>
    <col min="2" max="3" width="10" bestFit="1" customWidth="1"/>
    <col min="4" max="4" width="10.28515625" bestFit="1" customWidth="1"/>
    <col min="10" max="10" width="10.42578125" customWidth="1"/>
    <col min="13" max="13" width="10" bestFit="1" customWidth="1"/>
    <col min="15" max="15" width="10" customWidth="1"/>
    <col min="21" max="21" width="10.42578125" customWidth="1"/>
    <col min="24" max="24" width="10" bestFit="1" customWidth="1"/>
    <col min="26" max="26" width="11" customWidth="1"/>
    <col min="32" max="32" width="10.85546875" customWidth="1"/>
    <col min="35" max="35" width="9.85546875" customWidth="1"/>
    <col min="37" max="37" width="10.140625" customWidth="1"/>
    <col min="43" max="43" width="10.5703125" customWidth="1"/>
    <col min="46" max="46" width="10" customWidth="1"/>
    <col min="48" max="48" width="11.140625" customWidth="1"/>
    <col min="54" max="54" width="10.5703125" customWidth="1"/>
    <col min="56" max="56" width="10.5703125" customWidth="1"/>
    <col min="57" max="57" width="10.7109375" customWidth="1"/>
    <col min="59" max="59" width="10.140625" customWidth="1"/>
    <col min="65" max="65" width="11.140625" customWidth="1"/>
    <col min="68" max="68" width="11.5703125" customWidth="1"/>
    <col min="70" max="70" width="11.140625" customWidth="1"/>
    <col min="76" max="76" width="10.5703125" customWidth="1"/>
    <col min="79" max="79" width="10.5703125" customWidth="1"/>
    <col min="81" max="81" width="11.42578125" customWidth="1"/>
    <col min="87" max="87" width="10.140625" customWidth="1"/>
    <col min="90" max="90" width="11" customWidth="1"/>
    <col min="91" max="91" width="10.42578125" customWidth="1"/>
    <col min="92" max="92" width="10.28515625" customWidth="1"/>
    <col min="98" max="98" width="10.7109375" customWidth="1"/>
    <col min="101" max="101" width="10.85546875" customWidth="1"/>
    <col min="106" max="106" width="10.42578125" customWidth="1"/>
    <col min="109" max="109" width="10.5703125" customWidth="1"/>
    <col min="112" max="112" width="12.28515625" customWidth="1"/>
    <col min="117" max="117" width="10.28515625" customWidth="1"/>
    <col min="119" max="119" width="10" customWidth="1"/>
    <col min="120" max="120" width="11.5703125" customWidth="1"/>
    <col min="122" max="122" width="21.85546875" bestFit="1" customWidth="1"/>
    <col min="123" max="123" width="11.140625" customWidth="1"/>
    <col min="124" max="124" width="10.140625" customWidth="1"/>
    <col min="128" max="128" width="12.7109375" customWidth="1"/>
    <col min="129" max="129" width="10.85546875" customWidth="1"/>
    <col min="130" max="131" width="11.140625" customWidth="1"/>
    <col min="134" max="134" width="11.140625" customWidth="1"/>
    <col min="135" max="135" width="10.28515625" customWidth="1"/>
    <col min="139" max="139" width="10.28515625" bestFit="1" customWidth="1"/>
    <col min="142" max="142" width="11" customWidth="1"/>
    <col min="145" max="145" width="11.85546875" customWidth="1"/>
    <col min="146" max="146" width="10.7109375" customWidth="1"/>
    <col min="150" max="150" width="10.140625" customWidth="1"/>
    <col min="153" max="153" width="11.5703125" customWidth="1"/>
    <col min="156" max="156" width="12" customWidth="1"/>
    <col min="161" max="161" width="10.5703125" customWidth="1"/>
    <col min="164" max="164" width="12" customWidth="1"/>
    <col min="167" max="167" width="12.7109375" customWidth="1"/>
    <col min="172" max="172" width="10.28515625" bestFit="1" customWidth="1"/>
    <col min="175" max="175" width="10.42578125" customWidth="1"/>
    <col min="178" max="178" width="11.42578125" customWidth="1"/>
    <col min="183" max="183" width="10.28515625" bestFit="1" customWidth="1"/>
    <col min="186" max="186" width="10.7109375" customWidth="1"/>
  </cols>
  <sheetData>
    <row r="2" spans="1:186" x14ac:dyDescent="0.25">
      <c r="A2" s="235" t="s">
        <v>1018</v>
      </c>
      <c r="L2" s="235" t="s">
        <v>647</v>
      </c>
      <c r="W2" s="235" t="s">
        <v>648</v>
      </c>
      <c r="AH2" s="235" t="s">
        <v>1019</v>
      </c>
      <c r="AS2" s="235" t="s">
        <v>649</v>
      </c>
      <c r="BD2" s="235" t="s">
        <v>650</v>
      </c>
      <c r="BO2" s="235" t="s">
        <v>1015</v>
      </c>
      <c r="BZ2" s="235" t="s">
        <v>652</v>
      </c>
      <c r="CK2" s="235" t="s">
        <v>653</v>
      </c>
      <c r="CV2" s="235" t="s">
        <v>1016</v>
      </c>
      <c r="DG2" t="s">
        <v>1017</v>
      </c>
      <c r="DR2" t="s">
        <v>814</v>
      </c>
      <c r="EC2" t="s">
        <v>813</v>
      </c>
      <c r="EN2" t="s">
        <v>812</v>
      </c>
      <c r="EY2" t="s">
        <v>811</v>
      </c>
      <c r="FJ2" t="s">
        <v>810</v>
      </c>
      <c r="FU2" t="s">
        <v>809</v>
      </c>
    </row>
    <row r="4" spans="1:186" ht="15.75" x14ac:dyDescent="0.25">
      <c r="A4" s="248"/>
      <c r="B4" s="338" t="s">
        <v>570</v>
      </c>
      <c r="C4" s="338" t="s">
        <v>571</v>
      </c>
      <c r="D4" s="338" t="s">
        <v>572</v>
      </c>
      <c r="E4" s="338" t="s">
        <v>573</v>
      </c>
      <c r="F4" s="338" t="s">
        <v>574</v>
      </c>
      <c r="G4" s="338" t="s">
        <v>575</v>
      </c>
      <c r="H4" s="338" t="s">
        <v>576</v>
      </c>
      <c r="I4" s="338" t="s">
        <v>103</v>
      </c>
      <c r="J4" s="338" t="s">
        <v>577</v>
      </c>
      <c r="L4" s="248"/>
      <c r="M4" s="338" t="s">
        <v>570</v>
      </c>
      <c r="N4" s="338" t="s">
        <v>571</v>
      </c>
      <c r="O4" s="338" t="s">
        <v>572</v>
      </c>
      <c r="P4" s="338" t="s">
        <v>573</v>
      </c>
      <c r="Q4" s="338" t="s">
        <v>574</v>
      </c>
      <c r="R4" s="338" t="s">
        <v>575</v>
      </c>
      <c r="S4" s="338" t="s">
        <v>576</v>
      </c>
      <c r="T4" s="338" t="s">
        <v>103</v>
      </c>
      <c r="U4" s="338" t="s">
        <v>577</v>
      </c>
      <c r="W4" s="248"/>
      <c r="X4" s="338" t="s">
        <v>570</v>
      </c>
      <c r="Y4" s="338" t="s">
        <v>571</v>
      </c>
      <c r="Z4" s="338" t="s">
        <v>572</v>
      </c>
      <c r="AA4" s="338" t="s">
        <v>573</v>
      </c>
      <c r="AB4" s="338" t="s">
        <v>574</v>
      </c>
      <c r="AC4" s="338" t="s">
        <v>575</v>
      </c>
      <c r="AD4" s="338" t="s">
        <v>576</v>
      </c>
      <c r="AE4" s="338" t="s">
        <v>103</v>
      </c>
      <c r="AF4" s="338" t="s">
        <v>577</v>
      </c>
      <c r="AH4" s="248"/>
      <c r="AI4" s="338" t="s">
        <v>570</v>
      </c>
      <c r="AJ4" s="338" t="s">
        <v>571</v>
      </c>
      <c r="AK4" s="338" t="s">
        <v>572</v>
      </c>
      <c r="AL4" s="338" t="s">
        <v>573</v>
      </c>
      <c r="AM4" s="338" t="s">
        <v>574</v>
      </c>
      <c r="AN4" s="338" t="s">
        <v>575</v>
      </c>
      <c r="AO4" s="338" t="s">
        <v>576</v>
      </c>
      <c r="AP4" s="338" t="s">
        <v>103</v>
      </c>
      <c r="AQ4" s="338" t="s">
        <v>577</v>
      </c>
      <c r="AS4" s="248"/>
      <c r="AT4" s="338" t="s">
        <v>570</v>
      </c>
      <c r="AU4" s="338" t="s">
        <v>571</v>
      </c>
      <c r="AV4" s="338" t="s">
        <v>572</v>
      </c>
      <c r="AW4" s="338" t="s">
        <v>573</v>
      </c>
      <c r="AX4" s="338" t="s">
        <v>574</v>
      </c>
      <c r="AY4" s="338" t="s">
        <v>575</v>
      </c>
      <c r="AZ4" s="338" t="s">
        <v>576</v>
      </c>
      <c r="BA4" s="338" t="s">
        <v>103</v>
      </c>
      <c r="BB4" s="338" t="s">
        <v>577</v>
      </c>
      <c r="BD4" s="248"/>
      <c r="BE4" s="338" t="s">
        <v>570</v>
      </c>
      <c r="BF4" s="338" t="s">
        <v>571</v>
      </c>
      <c r="BG4" s="338" t="s">
        <v>572</v>
      </c>
      <c r="BH4" s="338" t="s">
        <v>573</v>
      </c>
      <c r="BI4" s="338" t="s">
        <v>574</v>
      </c>
      <c r="BJ4" s="338" t="s">
        <v>575</v>
      </c>
      <c r="BK4" s="338" t="s">
        <v>576</v>
      </c>
      <c r="BL4" s="338" t="s">
        <v>103</v>
      </c>
      <c r="BM4" s="338" t="s">
        <v>577</v>
      </c>
      <c r="BO4" s="245"/>
      <c r="BP4" s="338" t="s">
        <v>570</v>
      </c>
      <c r="BQ4" s="338" t="s">
        <v>571</v>
      </c>
      <c r="BR4" s="338" t="s">
        <v>572</v>
      </c>
      <c r="BS4" s="338" t="s">
        <v>573</v>
      </c>
      <c r="BT4" s="338" t="s">
        <v>574</v>
      </c>
      <c r="BU4" s="338" t="s">
        <v>575</v>
      </c>
      <c r="BV4" s="338" t="s">
        <v>576</v>
      </c>
      <c r="BW4" s="338" t="s">
        <v>103</v>
      </c>
      <c r="BX4" s="338" t="s">
        <v>577</v>
      </c>
      <c r="BZ4" s="245"/>
      <c r="CA4" s="338" t="s">
        <v>570</v>
      </c>
      <c r="CB4" s="338" t="s">
        <v>571</v>
      </c>
      <c r="CC4" s="338" t="s">
        <v>572</v>
      </c>
      <c r="CD4" s="338" t="s">
        <v>573</v>
      </c>
      <c r="CE4" s="338" t="s">
        <v>574</v>
      </c>
      <c r="CF4" s="338" t="s">
        <v>575</v>
      </c>
      <c r="CG4" s="338" t="s">
        <v>576</v>
      </c>
      <c r="CH4" s="338" t="s">
        <v>103</v>
      </c>
      <c r="CI4" s="338" t="s">
        <v>577</v>
      </c>
      <c r="CK4" s="248"/>
      <c r="CL4" s="338" t="s">
        <v>570</v>
      </c>
      <c r="CM4" s="338" t="s">
        <v>571</v>
      </c>
      <c r="CN4" s="338" t="s">
        <v>572</v>
      </c>
      <c r="CO4" s="338" t="s">
        <v>573</v>
      </c>
      <c r="CP4" s="338" t="s">
        <v>574</v>
      </c>
      <c r="CQ4" s="338" t="s">
        <v>575</v>
      </c>
      <c r="CR4" s="338" t="s">
        <v>576</v>
      </c>
      <c r="CS4" s="338" t="s">
        <v>103</v>
      </c>
      <c r="CT4" s="338" t="s">
        <v>577</v>
      </c>
      <c r="CV4" s="248"/>
      <c r="CW4" s="338" t="s">
        <v>570</v>
      </c>
      <c r="CX4" s="338" t="s">
        <v>571</v>
      </c>
      <c r="CY4" s="338" t="s">
        <v>572</v>
      </c>
      <c r="CZ4" s="338" t="s">
        <v>573</v>
      </c>
      <c r="DA4" s="338" t="s">
        <v>574</v>
      </c>
      <c r="DB4" s="337" t="s">
        <v>575</v>
      </c>
      <c r="DC4" s="338" t="s">
        <v>576</v>
      </c>
      <c r="DD4" s="338" t="s">
        <v>103</v>
      </c>
      <c r="DE4" s="338" t="s">
        <v>577</v>
      </c>
      <c r="DG4" s="248"/>
      <c r="DH4" s="338" t="s">
        <v>570</v>
      </c>
      <c r="DI4" s="338" t="s">
        <v>571</v>
      </c>
      <c r="DJ4" s="338" t="s">
        <v>572</v>
      </c>
      <c r="DK4" s="338" t="s">
        <v>573</v>
      </c>
      <c r="DL4" s="338" t="s">
        <v>574</v>
      </c>
      <c r="DM4" s="337" t="s">
        <v>575</v>
      </c>
      <c r="DN4" s="338" t="s">
        <v>576</v>
      </c>
      <c r="DO4" s="338" t="s">
        <v>103</v>
      </c>
      <c r="DP4" s="338" t="s">
        <v>577</v>
      </c>
      <c r="DR4" s="248"/>
      <c r="DS4" s="338" t="s">
        <v>570</v>
      </c>
      <c r="DT4" s="338" t="s">
        <v>571</v>
      </c>
      <c r="DU4" s="338" t="s">
        <v>572</v>
      </c>
      <c r="DV4" s="338" t="s">
        <v>573</v>
      </c>
      <c r="DW4" s="338" t="s">
        <v>574</v>
      </c>
      <c r="DX4" s="337" t="s">
        <v>575</v>
      </c>
      <c r="DY4" s="338" t="s">
        <v>576</v>
      </c>
      <c r="DZ4" s="338" t="s">
        <v>103</v>
      </c>
      <c r="EA4" s="338" t="s">
        <v>577</v>
      </c>
      <c r="EC4" s="248"/>
      <c r="ED4" s="338" t="s">
        <v>570</v>
      </c>
      <c r="EE4" s="338" t="s">
        <v>571</v>
      </c>
      <c r="EF4" s="338" t="s">
        <v>572</v>
      </c>
      <c r="EG4" s="338" t="s">
        <v>573</v>
      </c>
      <c r="EH4" s="338" t="s">
        <v>574</v>
      </c>
      <c r="EI4" s="337" t="s">
        <v>575</v>
      </c>
      <c r="EJ4" s="338" t="s">
        <v>576</v>
      </c>
      <c r="EK4" s="338" t="s">
        <v>103</v>
      </c>
      <c r="EL4" s="338" t="s">
        <v>577</v>
      </c>
      <c r="EN4" s="248"/>
      <c r="EO4" s="338" t="s">
        <v>570</v>
      </c>
      <c r="EP4" s="338" t="s">
        <v>571</v>
      </c>
      <c r="EQ4" s="338" t="s">
        <v>572</v>
      </c>
      <c r="ER4" s="338" t="s">
        <v>573</v>
      </c>
      <c r="ES4" s="338" t="s">
        <v>574</v>
      </c>
      <c r="ET4" s="337" t="s">
        <v>575</v>
      </c>
      <c r="EU4" s="338" t="s">
        <v>576</v>
      </c>
      <c r="EV4" s="338" t="s">
        <v>103</v>
      </c>
      <c r="EW4" s="338" t="s">
        <v>577</v>
      </c>
      <c r="EY4" s="248"/>
      <c r="EZ4" s="338" t="s">
        <v>570</v>
      </c>
      <c r="FA4" s="338" t="s">
        <v>571</v>
      </c>
      <c r="FB4" s="338" t="s">
        <v>572</v>
      </c>
      <c r="FC4" s="338" t="s">
        <v>573</v>
      </c>
      <c r="FD4" s="338" t="s">
        <v>574</v>
      </c>
      <c r="FE4" s="337" t="s">
        <v>575</v>
      </c>
      <c r="FF4" s="338" t="s">
        <v>576</v>
      </c>
      <c r="FG4" s="338" t="s">
        <v>103</v>
      </c>
      <c r="FH4" s="338" t="s">
        <v>577</v>
      </c>
      <c r="FJ4" s="248"/>
      <c r="FK4" s="338" t="s">
        <v>570</v>
      </c>
      <c r="FL4" s="338" t="s">
        <v>571</v>
      </c>
      <c r="FM4" s="338" t="s">
        <v>572</v>
      </c>
      <c r="FN4" s="338" t="s">
        <v>573</v>
      </c>
      <c r="FO4" s="338" t="s">
        <v>574</v>
      </c>
      <c r="FP4" s="337" t="s">
        <v>575</v>
      </c>
      <c r="FQ4" s="338" t="s">
        <v>576</v>
      </c>
      <c r="FR4" s="338" t="s">
        <v>103</v>
      </c>
      <c r="FS4" s="338" t="s">
        <v>577</v>
      </c>
      <c r="FU4" s="248"/>
      <c r="FV4" s="338" t="s">
        <v>570</v>
      </c>
      <c r="FW4" s="338" t="s">
        <v>571</v>
      </c>
      <c r="FX4" s="338" t="s">
        <v>572</v>
      </c>
      <c r="FY4" s="338" t="s">
        <v>573</v>
      </c>
      <c r="FZ4" s="338" t="s">
        <v>574</v>
      </c>
      <c r="GA4" s="337" t="s">
        <v>575</v>
      </c>
      <c r="GB4" s="338" t="s">
        <v>576</v>
      </c>
      <c r="GC4" s="338" t="s">
        <v>103</v>
      </c>
      <c r="GD4" s="338" t="s">
        <v>577</v>
      </c>
    </row>
    <row r="5" spans="1:186" ht="15.75" x14ac:dyDescent="0.25">
      <c r="A5" s="248"/>
      <c r="B5" s="245"/>
      <c r="C5" s="245"/>
      <c r="D5" s="245"/>
      <c r="E5" s="245"/>
      <c r="F5" s="245"/>
      <c r="G5" s="245"/>
      <c r="H5" s="245"/>
      <c r="I5" s="245"/>
      <c r="J5" s="245"/>
      <c r="L5" s="248"/>
      <c r="M5" s="245"/>
      <c r="N5" s="245"/>
      <c r="O5" s="245"/>
      <c r="P5" s="245"/>
      <c r="Q5" s="245"/>
      <c r="R5" s="245"/>
      <c r="S5" s="245"/>
      <c r="T5" s="245"/>
      <c r="U5" s="245"/>
      <c r="W5" s="248"/>
      <c r="X5" s="245"/>
      <c r="Y5" s="245"/>
      <c r="Z5" s="245"/>
      <c r="AA5" s="245"/>
      <c r="AB5" s="245"/>
      <c r="AC5" s="245"/>
      <c r="AD5" s="245"/>
      <c r="AE5" s="245"/>
      <c r="AF5" s="245"/>
      <c r="AH5" s="248"/>
      <c r="AI5" s="245"/>
      <c r="AJ5" s="245"/>
      <c r="AK5" s="245"/>
      <c r="AL5" s="245"/>
      <c r="AM5" s="245"/>
      <c r="AN5" s="245"/>
      <c r="AO5" s="245"/>
      <c r="AP5" s="245"/>
      <c r="AQ5" s="245"/>
      <c r="AS5" s="248"/>
      <c r="AT5" s="245"/>
      <c r="AU5" s="245"/>
      <c r="AV5" s="245"/>
      <c r="AW5" s="245"/>
      <c r="AX5" s="245"/>
      <c r="AY5" s="245"/>
      <c r="AZ5" s="245"/>
      <c r="BA5" s="245"/>
      <c r="BB5" s="245"/>
      <c r="BD5" s="248"/>
      <c r="BE5" s="245"/>
      <c r="BF5" s="245"/>
      <c r="BG5" s="245"/>
      <c r="BH5" s="245"/>
      <c r="BI5" s="245"/>
      <c r="BJ5" s="245"/>
      <c r="BK5" s="245"/>
      <c r="BL5" s="245"/>
      <c r="BM5" s="245"/>
      <c r="BO5" s="245"/>
      <c r="BP5" s="245"/>
      <c r="BQ5" s="245"/>
      <c r="BR5" s="245"/>
      <c r="BS5" s="245"/>
      <c r="BT5" s="245"/>
      <c r="BU5" s="245"/>
      <c r="BV5" s="245"/>
      <c r="BW5" s="245"/>
      <c r="BX5" s="245"/>
      <c r="BZ5" s="245"/>
      <c r="CA5" s="245"/>
      <c r="CB5" s="245"/>
      <c r="CC5" s="245"/>
      <c r="CD5" s="245"/>
      <c r="CE5" s="245"/>
      <c r="CF5" s="245"/>
      <c r="CG5" s="245"/>
      <c r="CH5" s="245"/>
      <c r="CI5" s="245"/>
      <c r="CK5" s="248"/>
      <c r="CL5" s="245"/>
      <c r="CM5" s="245"/>
      <c r="CN5" s="245"/>
      <c r="CO5" s="245"/>
      <c r="CP5" s="245"/>
      <c r="CQ5" s="245"/>
      <c r="CR5" s="245"/>
      <c r="CS5" s="245"/>
      <c r="CT5" s="245"/>
      <c r="CV5" s="248"/>
      <c r="CW5" s="245"/>
      <c r="CX5" s="245"/>
      <c r="CY5" s="245"/>
      <c r="CZ5" s="245"/>
      <c r="DA5" s="245"/>
      <c r="DB5" s="245"/>
      <c r="DC5" s="245"/>
      <c r="DD5" s="257"/>
      <c r="DE5" s="245"/>
      <c r="DG5" s="248"/>
      <c r="DH5" s="245"/>
      <c r="DI5" s="245"/>
      <c r="DJ5" s="245"/>
      <c r="DK5" s="245"/>
      <c r="DL5" s="245"/>
      <c r="DM5" s="245"/>
      <c r="DN5" s="245"/>
      <c r="DO5" s="257"/>
      <c r="DP5" s="245"/>
      <c r="DR5" s="248"/>
      <c r="DS5" s="245"/>
      <c r="DT5" s="245"/>
      <c r="DU5" s="245"/>
      <c r="DV5" s="245"/>
      <c r="DW5" s="245"/>
      <c r="DX5" s="245"/>
      <c r="DY5" s="245"/>
      <c r="DZ5" s="257"/>
      <c r="EA5" s="245"/>
      <c r="EC5" s="248"/>
      <c r="ED5" s="245"/>
      <c r="EE5" s="245"/>
      <c r="EF5" s="245"/>
      <c r="EG5" s="245"/>
      <c r="EH5" s="245"/>
      <c r="EI5" s="245"/>
      <c r="EJ5" s="245"/>
      <c r="EK5" s="257"/>
      <c r="EL5" s="245"/>
      <c r="EN5" s="248"/>
      <c r="EO5" s="245"/>
      <c r="EP5" s="245"/>
      <c r="EQ5" s="245"/>
      <c r="ER5" s="245"/>
      <c r="ES5" s="245"/>
      <c r="ET5" s="245"/>
      <c r="EU5" s="245"/>
      <c r="EV5" s="257"/>
      <c r="EW5" s="245"/>
      <c r="EY5" s="248"/>
      <c r="EZ5" s="245"/>
      <c r="FA5" s="245"/>
      <c r="FB5" s="245"/>
      <c r="FC5" s="245"/>
      <c r="FD5" s="245"/>
      <c r="FE5" s="245"/>
      <c r="FF5" s="245"/>
      <c r="FG5" s="257"/>
      <c r="FH5" s="245"/>
      <c r="FJ5" s="248"/>
      <c r="FK5" s="245"/>
      <c r="FL5" s="245"/>
      <c r="FM5" s="245"/>
      <c r="FN5" s="245"/>
      <c r="FO5" s="245"/>
      <c r="FP5" s="245"/>
      <c r="FQ5" s="245"/>
      <c r="FR5" s="257"/>
      <c r="FS5" s="245"/>
      <c r="FU5" s="248"/>
      <c r="FV5" s="245"/>
      <c r="FW5" s="245"/>
      <c r="FX5" s="245"/>
      <c r="FY5" s="245"/>
      <c r="FZ5" s="245"/>
      <c r="GA5" s="245"/>
      <c r="GB5" s="245"/>
      <c r="GC5" s="257"/>
      <c r="GD5" s="245"/>
    </row>
    <row r="6" spans="1:186" ht="15.75" x14ac:dyDescent="0.25">
      <c r="A6" s="248"/>
      <c r="B6" s="245"/>
      <c r="C6" s="245"/>
      <c r="D6" s="245"/>
      <c r="E6" s="245"/>
      <c r="F6" s="245"/>
      <c r="G6" s="245"/>
      <c r="H6" s="245"/>
      <c r="I6" s="245"/>
      <c r="J6" s="245"/>
      <c r="L6" s="248"/>
      <c r="M6" s="245"/>
      <c r="N6" s="245"/>
      <c r="O6" s="245"/>
      <c r="P6" s="245"/>
      <c r="Q6" s="245"/>
      <c r="R6" s="245"/>
      <c r="S6" s="245"/>
      <c r="T6" s="245"/>
      <c r="U6" s="245"/>
      <c r="W6" s="248"/>
      <c r="X6" s="245"/>
      <c r="Y6" s="245"/>
      <c r="Z6" s="245"/>
      <c r="AA6" s="245"/>
      <c r="AB6" s="245"/>
      <c r="AC6" s="245"/>
      <c r="AD6" s="245"/>
      <c r="AE6" s="245"/>
      <c r="AF6" s="245"/>
      <c r="AH6" s="248"/>
      <c r="AI6" s="245"/>
      <c r="AJ6" s="245"/>
      <c r="AK6" s="245"/>
      <c r="AL6" s="245"/>
      <c r="AM6" s="245"/>
      <c r="AN6" s="245"/>
      <c r="AO6" s="245"/>
      <c r="AP6" s="245"/>
      <c r="AQ6" s="245"/>
      <c r="AS6" s="248"/>
      <c r="AT6" s="245"/>
      <c r="AU6" s="245"/>
      <c r="AV6" s="245"/>
      <c r="AW6" s="245"/>
      <c r="AX6" s="245"/>
      <c r="AY6" s="245"/>
      <c r="AZ6" s="245"/>
      <c r="BA6" s="245"/>
      <c r="BB6" s="245"/>
      <c r="BD6" s="248"/>
      <c r="BE6" s="245"/>
      <c r="BF6" s="245"/>
      <c r="BG6" s="245"/>
      <c r="BH6" s="245"/>
      <c r="BI6" s="245"/>
      <c r="BJ6" s="245"/>
      <c r="BK6" s="245"/>
      <c r="BL6" s="245"/>
      <c r="BM6" s="245"/>
      <c r="BO6" s="248"/>
      <c r="BP6" s="245"/>
      <c r="BQ6" s="245"/>
      <c r="BR6" s="245"/>
      <c r="BS6" s="245"/>
      <c r="BT6" s="245"/>
      <c r="BU6" s="253"/>
      <c r="BV6" s="254"/>
      <c r="BW6" s="245"/>
      <c r="BX6" s="245"/>
      <c r="BZ6" s="248"/>
      <c r="CA6" s="245"/>
      <c r="CB6" s="245"/>
      <c r="CC6" s="245"/>
      <c r="CD6" s="245"/>
      <c r="CE6" s="245"/>
      <c r="CF6" s="253"/>
      <c r="CG6" s="254"/>
      <c r="CH6" s="245"/>
      <c r="CI6" s="245"/>
      <c r="CK6" s="248"/>
      <c r="CL6" s="245"/>
      <c r="CM6" s="245"/>
      <c r="CN6" s="245"/>
      <c r="CO6" s="245"/>
      <c r="CP6" s="245"/>
      <c r="CQ6" s="253"/>
      <c r="CR6" s="254"/>
      <c r="CS6" s="245"/>
      <c r="CT6" s="245"/>
      <c r="CV6" s="250" t="s">
        <v>579</v>
      </c>
      <c r="CW6" s="251">
        <v>4</v>
      </c>
      <c r="CX6" s="251">
        <v>1</v>
      </c>
      <c r="CY6" s="339">
        <f ca="1">IF(ROLLWIDTH="Y",VALUE(Width)+1.99,VALUE(Width)*0.5)</f>
        <v>1.99</v>
      </c>
      <c r="CZ6" s="251">
        <v>0.28299999999999997</v>
      </c>
      <c r="DA6" s="252">
        <v>1</v>
      </c>
      <c r="DB6" s="253">
        <f ca="1">((PI()*CY6*CZ6/4)*(CW6^2-CX6^2))*DA6</f>
        <v>6.6346902552081142</v>
      </c>
      <c r="DC6" s="254">
        <f ca="1">(((DB6/386.4)*(CW6^2+CX6^2))/8)</f>
        <v>3.6487362298957673E-2</v>
      </c>
      <c r="DD6" s="255" t="e">
        <f ca="1">Ratio</f>
        <v>#N/A</v>
      </c>
      <c r="DE6" s="256" t="e">
        <f ca="1">(DC6/(DD6^2))</f>
        <v>#N/A</v>
      </c>
      <c r="DG6" s="250" t="s">
        <v>579</v>
      </c>
      <c r="DH6" s="339">
        <v>4</v>
      </c>
      <c r="DI6" s="339">
        <v>1</v>
      </c>
      <c r="DJ6" s="339">
        <f ca="1">IF(ROLLWIDTH="Y",VALUE(Width)+1.99,VALUE(Width)*0.5)</f>
        <v>1.99</v>
      </c>
      <c r="DK6" s="254">
        <v>0.28299999999999997</v>
      </c>
      <c r="DL6" s="252">
        <v>1</v>
      </c>
      <c r="DM6" s="340">
        <f ca="1">((PI()*DJ6*DK6/4)*(DH6^2-DI6^2))*DL6</f>
        <v>6.6346902552081142</v>
      </c>
      <c r="DN6" s="254">
        <f ca="1">(((DM6/386.4)*(DH6^2+DI6^2))/8)</f>
        <v>3.6487362298957673E-2</v>
      </c>
      <c r="DO6" s="255" t="e">
        <f ca="1">Ratio</f>
        <v>#N/A</v>
      </c>
      <c r="DP6" s="256" t="e">
        <f ca="1">(DN6/(DO6^2))</f>
        <v>#N/A</v>
      </c>
      <c r="DR6" s="250" t="s">
        <v>578</v>
      </c>
      <c r="DS6" s="255">
        <v>5</v>
      </c>
      <c r="DT6" s="339">
        <v>0</v>
      </c>
      <c r="DU6" s="342">
        <f ca="1">IF(ROLLWIDTH="Y",VALUE(Width)+1.725,VALUE(Width)*0.5)</f>
        <v>1.7250000000000001</v>
      </c>
      <c r="DV6" s="251">
        <v>0.28299999999999997</v>
      </c>
      <c r="DW6" s="252">
        <v>1</v>
      </c>
      <c r="DX6" s="340">
        <f ca="1">((PI()*DU6*DV6/4)*(DS6^2-DT6^2))*DW6</f>
        <v>9.5852937104137315</v>
      </c>
      <c r="DY6" s="254">
        <f ca="1">(((DX6/386.4)*(DS6^2+DT6^2))/8)</f>
        <v>7.7520814816363637E-2</v>
      </c>
      <c r="DZ6" s="341" t="e">
        <f ca="1">Ratio</f>
        <v>#N/A</v>
      </c>
      <c r="EA6" s="256" t="e">
        <f ca="1">(DY6/(DZ6^2))</f>
        <v>#N/A</v>
      </c>
      <c r="EC6" s="250" t="s">
        <v>578</v>
      </c>
      <c r="ED6" s="255">
        <v>6</v>
      </c>
      <c r="EE6" s="339">
        <v>0</v>
      </c>
      <c r="EF6" s="342">
        <f ca="1">IF(ROLLWIDTH="Y",VALUE(Width)+1.725,VALUE(Width)*0.5)</f>
        <v>1.7250000000000001</v>
      </c>
      <c r="EG6" s="251">
        <v>0.28299999999999997</v>
      </c>
      <c r="EH6" s="252">
        <v>1</v>
      </c>
      <c r="EI6" s="340">
        <f ca="1">((PI()*EF6*EG6/4)*(ED6^2-EE6^2))*EH6</f>
        <v>13.802822942995775</v>
      </c>
      <c r="EJ6" s="254">
        <f ca="1">(((EI6/386.4)*(ED6^2+EE6^2))/8)</f>
        <v>0.16074716160321167</v>
      </c>
      <c r="EK6" s="341" t="e">
        <f ca="1">Ratio</f>
        <v>#N/A</v>
      </c>
      <c r="EL6" s="256" t="e">
        <f ca="1">(EJ6/(EK6^2))</f>
        <v>#N/A</v>
      </c>
      <c r="EN6" s="250" t="s">
        <v>578</v>
      </c>
      <c r="EO6" s="255">
        <v>6</v>
      </c>
      <c r="EP6" s="339">
        <v>0</v>
      </c>
      <c r="EQ6" s="342">
        <f ca="1">IF(ROLLWIDTH="Y",VALUE(Width)+1.725,VALUE(Width)*0.5)</f>
        <v>1.7250000000000001</v>
      </c>
      <c r="ER6" s="251">
        <v>0.28299999999999997</v>
      </c>
      <c r="ES6" s="252">
        <v>1</v>
      </c>
      <c r="ET6" s="340">
        <f ca="1">((PI()*EQ6*ER6/4)*(EO6^2-EP6^2))*ES6</f>
        <v>13.802822942995775</v>
      </c>
      <c r="EU6" s="254">
        <f ca="1">(((ET6/386.4)*(EO6^2+EP6^2))/8)</f>
        <v>0.16074716160321167</v>
      </c>
      <c r="EV6" s="341" t="e">
        <f ca="1">Ratio</f>
        <v>#N/A</v>
      </c>
      <c r="EW6" s="256" t="e">
        <f ca="1">(EU6/(EV6^2))</f>
        <v>#N/A</v>
      </c>
      <c r="EY6" s="250" t="s">
        <v>578</v>
      </c>
      <c r="EZ6" s="339">
        <v>7</v>
      </c>
      <c r="FA6" s="339">
        <v>0</v>
      </c>
      <c r="FB6" s="342">
        <f ca="1">IF(ROLLWIDTH="Y",VALUE(Width)+1.725,VALUE(Width)*0.5)</f>
        <v>1.7250000000000001</v>
      </c>
      <c r="FC6" s="251">
        <v>0.28299999999999997</v>
      </c>
      <c r="FD6" s="252">
        <v>1</v>
      </c>
      <c r="FE6" s="340">
        <f ca="1">((PI()*FB6*FC6/4)*(EZ6^2-FA6^2))*FD6</f>
        <v>18.787175672410914</v>
      </c>
      <c r="FF6" s="254">
        <f ca="1">(((FE6/386.4)*(EZ6^2+FA6^2))/8)</f>
        <v>0.29780396219854255</v>
      </c>
      <c r="FG6" s="341" t="e">
        <f ca="1">Ratio</f>
        <v>#N/A</v>
      </c>
      <c r="FH6" s="256" t="e">
        <f ca="1">(FF6/(FG6^2))</f>
        <v>#N/A</v>
      </c>
      <c r="FJ6" s="250" t="s">
        <v>578</v>
      </c>
      <c r="FK6" s="339">
        <v>7</v>
      </c>
      <c r="FL6" s="339">
        <v>0</v>
      </c>
      <c r="FM6" s="342">
        <f ca="1">IF(ROLLWIDTH="Y",VALUE(Width)+1.725,VALUE(Width)*0.5)</f>
        <v>1.7250000000000001</v>
      </c>
      <c r="FN6" s="251">
        <v>0.28299999999999997</v>
      </c>
      <c r="FO6" s="252">
        <v>1</v>
      </c>
      <c r="FP6" s="340">
        <f ca="1">((PI()*FM6*FN6/4)*(FK6^2-FL6^2))*FO6</f>
        <v>18.787175672410914</v>
      </c>
      <c r="FQ6" s="254">
        <f ca="1">(((FP6/386.4)*(FK6^2+FL6^2))/8)</f>
        <v>0.29780396219854255</v>
      </c>
      <c r="FR6" s="341" t="e">
        <f ca="1">Ratio</f>
        <v>#N/A</v>
      </c>
      <c r="FS6" s="256" t="e">
        <f ca="1">(FQ6/(FR6^2))</f>
        <v>#N/A</v>
      </c>
      <c r="FU6" s="250" t="s">
        <v>578</v>
      </c>
      <c r="FV6" s="378">
        <v>8</v>
      </c>
      <c r="FW6" s="378">
        <v>0</v>
      </c>
      <c r="FX6" s="379">
        <f ca="1">IF(ROLLWIDTH="Y",VALUE(Width)+1.725,VALUE(Width)*0.5)</f>
        <v>1.7250000000000001</v>
      </c>
      <c r="FY6" s="251">
        <v>0.28299999999999997</v>
      </c>
      <c r="FZ6" s="252">
        <v>1</v>
      </c>
      <c r="GA6" s="340">
        <f ca="1">((PI()*FX6*FY6/4)*(FV6^2-FW6^2))*FZ6</f>
        <v>24.538351898659155</v>
      </c>
      <c r="GB6" s="254">
        <f ca="1">(((GA6/386.4)*(FV6^2+FW6^2))/8)</f>
        <v>0.50804041198052086</v>
      </c>
      <c r="GC6" s="341" t="e">
        <f ca="1">Ratio</f>
        <v>#N/A</v>
      </c>
      <c r="GD6" s="256" t="e">
        <f ca="1">(GB6/(GC6^2))</f>
        <v>#N/A</v>
      </c>
    </row>
    <row r="7" spans="1:186" ht="15.75" x14ac:dyDescent="0.25">
      <c r="A7" s="250" t="s">
        <v>578</v>
      </c>
      <c r="B7" s="251">
        <v>2.25</v>
      </c>
      <c r="C7" s="251">
        <v>0</v>
      </c>
      <c r="D7" s="251">
        <f ca="1">VALUE(Width)+0.75</f>
        <v>0.75</v>
      </c>
      <c r="E7" s="251">
        <v>0.28299999999999997</v>
      </c>
      <c r="F7" s="252">
        <v>1</v>
      </c>
      <c r="G7" s="253">
        <f ca="1">((PI()*D7*E7/4)*(B7^2-C7^2))*F7</f>
        <v>0.84392259841686124</v>
      </c>
      <c r="H7" s="254">
        <f ca="1">(((G7/386.4)*(B7^2+C7^2))/8)</f>
        <v>1.3821034402450051E-3</v>
      </c>
      <c r="I7" s="255" t="e">
        <f ca="1">Ratio</f>
        <v>#N/A</v>
      </c>
      <c r="J7" s="256" t="e">
        <f ca="1">(H7/(I7^2))</f>
        <v>#N/A</v>
      </c>
      <c r="L7" s="250" t="s">
        <v>578</v>
      </c>
      <c r="M7" s="251">
        <v>2.25</v>
      </c>
      <c r="N7" s="251">
        <v>0</v>
      </c>
      <c r="O7" s="251">
        <f ca="1">VALUE(Width)+0.75</f>
        <v>0.75</v>
      </c>
      <c r="P7" s="251">
        <v>0.28299999999999997</v>
      </c>
      <c r="Q7" s="252">
        <v>1</v>
      </c>
      <c r="R7" s="253">
        <f ca="1">((PI()*P7*O7/4)*(M7^2-N7^2))*Q7</f>
        <v>0.84392259841686124</v>
      </c>
      <c r="S7" s="254">
        <f ca="1">(((R7/386.4)*(M7^2+N7^2))/8)</f>
        <v>1.3821034402450051E-3</v>
      </c>
      <c r="T7" s="255" t="e">
        <f ca="1">Ratio</f>
        <v>#N/A</v>
      </c>
      <c r="U7" s="256" t="e">
        <f ca="1">(S7/(T7^2))</f>
        <v>#N/A</v>
      </c>
      <c r="W7" s="250" t="s">
        <v>578</v>
      </c>
      <c r="X7" s="251">
        <v>2.625</v>
      </c>
      <c r="Y7" s="251">
        <v>0</v>
      </c>
      <c r="Z7" s="251">
        <f ca="1">VALUE(Width)+0.75</f>
        <v>0.75</v>
      </c>
      <c r="AA7" s="251">
        <v>0.28299999999999997</v>
      </c>
      <c r="AB7" s="252">
        <v>1</v>
      </c>
      <c r="AC7" s="253">
        <f ca="1">((PI()*Z7*AA7/4)*(X7^2-Y7^2))*AB7</f>
        <v>1.1486724256229499</v>
      </c>
      <c r="AD7" s="254">
        <f ca="1">(((AC7/386.4)*(X7^2+Y7^2))/8)</f>
        <v>2.5605172531082232E-3</v>
      </c>
      <c r="AE7" s="255" t="e">
        <f ca="1">Ratio</f>
        <v>#N/A</v>
      </c>
      <c r="AF7" s="256" t="e">
        <f ca="1">(AD7/(AE7^2))</f>
        <v>#N/A</v>
      </c>
      <c r="AH7" s="250" t="s">
        <v>578</v>
      </c>
      <c r="AI7" s="251">
        <v>2.625</v>
      </c>
      <c r="AJ7" s="251">
        <v>0</v>
      </c>
      <c r="AK7" s="251">
        <f ca="1">VALUE(Width)+0.75</f>
        <v>0.75</v>
      </c>
      <c r="AL7" s="251">
        <v>0.28299999999999997</v>
      </c>
      <c r="AM7" s="252">
        <v>1</v>
      </c>
      <c r="AN7" s="253">
        <f ca="1">((PI()*AK7*AL7/4)*(AI7^2-AJ7^2))*AM7</f>
        <v>1.1486724256229499</v>
      </c>
      <c r="AO7" s="254">
        <f ca="1">(((AN7/386.4)*(AI7^2+AJ7^2))/8)</f>
        <v>2.5605172531082232E-3</v>
      </c>
      <c r="AP7" s="255" t="e">
        <f ca="1">Ratio</f>
        <v>#N/A</v>
      </c>
      <c r="AQ7" s="256" t="e">
        <f ca="1">(AO7/(AP7^2))</f>
        <v>#N/A</v>
      </c>
      <c r="AS7" s="250" t="s">
        <v>579</v>
      </c>
      <c r="AT7" s="251">
        <v>3</v>
      </c>
      <c r="AU7" s="251">
        <v>0</v>
      </c>
      <c r="AV7" s="251">
        <f ca="1">IF(ROLLWIDTH="Y", VALUE(Width)+1.99, VALUE(Width)*0.5)</f>
        <v>1.99</v>
      </c>
      <c r="AW7" s="251">
        <v>0.28299999999999997</v>
      </c>
      <c r="AX7" s="252">
        <v>1</v>
      </c>
      <c r="AY7" s="253">
        <f ca="1">((PI()*AV7*AW7/4)*(AT7^2-AU7^2))*AX7</f>
        <v>3.9808141531248684</v>
      </c>
      <c r="AZ7" s="254">
        <f ca="1">(((AY7/386.4)*(AT7^2+AU7^2))/8)</f>
        <v>1.1590103318492436E-2</v>
      </c>
      <c r="BA7" s="251" t="e">
        <f ca="1">Ratio</f>
        <v>#N/A</v>
      </c>
      <c r="BB7" s="256" t="e">
        <f ca="1">(AZ7/(BA7^2))</f>
        <v>#N/A</v>
      </c>
      <c r="BD7" s="250" t="s">
        <v>579</v>
      </c>
      <c r="BE7" s="251">
        <v>3</v>
      </c>
      <c r="BF7" s="251">
        <v>0</v>
      </c>
      <c r="BG7" s="251">
        <f ca="1">IF(ROLLWIDTH="Y", VALUE(Width)+1.99, VALUE(Width)*0.5)</f>
        <v>1.99</v>
      </c>
      <c r="BH7" s="251">
        <v>0.28299999999999997</v>
      </c>
      <c r="BI7" s="252">
        <v>1</v>
      </c>
      <c r="BJ7" s="253">
        <f ca="1">((PI()*BG7*BH7/4)*(BE7^2-BF7^2))*BI7</f>
        <v>3.9808141531248684</v>
      </c>
      <c r="BK7" s="254">
        <f ca="1">(((BJ7/386.4)*(BE7^2+BF7^2))/8)</f>
        <v>1.1590103318492436E-2</v>
      </c>
      <c r="BL7" s="251" t="e">
        <f ca="1">Ratio</f>
        <v>#N/A</v>
      </c>
      <c r="BM7" s="256" t="e">
        <f ca="1">(BK7/(BL7^2))</f>
        <v>#N/A</v>
      </c>
      <c r="BO7" s="250" t="s">
        <v>579</v>
      </c>
      <c r="BP7" s="251">
        <v>3</v>
      </c>
      <c r="BQ7" s="251">
        <v>0</v>
      </c>
      <c r="BR7" s="251">
        <f ca="1">IF(ROLLWIDTH="Y", VALUE(Width)+1.99, VALUE(Width)*0.5)</f>
        <v>1.99</v>
      </c>
      <c r="BS7" s="251">
        <v>0.28299999999999997</v>
      </c>
      <c r="BT7" s="252">
        <v>1</v>
      </c>
      <c r="BU7" s="253">
        <f ca="1">((PI()*BR7*BS7/4)*(BP7^2-BQ7^2))*BT7</f>
        <v>3.9808141531248684</v>
      </c>
      <c r="BV7" s="254">
        <f ca="1">(((BU7/386.4)*(BP7^2+BQ7^2))/8)</f>
        <v>1.1590103318492436E-2</v>
      </c>
      <c r="BW7" s="255" t="e">
        <f ca="1">Ratio</f>
        <v>#N/A</v>
      </c>
      <c r="BX7" s="256" t="e">
        <f ca="1">(BV7/(BW7^2))</f>
        <v>#N/A</v>
      </c>
      <c r="BZ7" s="250" t="s">
        <v>579</v>
      </c>
      <c r="CA7" s="251">
        <v>4</v>
      </c>
      <c r="CB7" s="251">
        <v>1</v>
      </c>
      <c r="CC7" s="251">
        <f ca="1">IF(ROLLWIDTH="Y", VALUE(Width)+1.99, VALUE(Width)*0.5)</f>
        <v>1.99</v>
      </c>
      <c r="CD7" s="251">
        <v>0.28299999999999997</v>
      </c>
      <c r="CE7" s="252">
        <v>1</v>
      </c>
      <c r="CF7" s="253">
        <f ca="1">((PI()*CC7*CD7/4)*(CA7^2-CB7^2))*CE7</f>
        <v>6.6346902552081142</v>
      </c>
      <c r="CG7" s="254">
        <f ca="1">(((CF7/386.4)*(CA7^2+CB7^2))/8)</f>
        <v>3.6487362298957673E-2</v>
      </c>
      <c r="CH7" s="255" t="e">
        <f ca="1">Ratio</f>
        <v>#N/A</v>
      </c>
      <c r="CI7" s="256" t="e">
        <f ca="1">(CG7/(CH7^2))</f>
        <v>#N/A</v>
      </c>
      <c r="CK7" s="250" t="s">
        <v>579</v>
      </c>
      <c r="CL7" s="251">
        <v>4</v>
      </c>
      <c r="CM7" s="251">
        <v>1</v>
      </c>
      <c r="CN7" s="251">
        <f ca="1">IF(ROLLWIDTH="Y", VALUE(Width)+0.49, VALUE(Width)*0.5)</f>
        <v>0.49</v>
      </c>
      <c r="CO7" s="251">
        <v>0.28299999999999997</v>
      </c>
      <c r="CP7" s="252">
        <v>1</v>
      </c>
      <c r="CQ7" s="253">
        <f ca="1">((PI()*CN7*CO7/4)*(CL7^2-CM7^2))*CP7</f>
        <v>1.633667449774862</v>
      </c>
      <c r="CR7" s="254">
        <f ca="1">(((CQ7/386.4)*(CL7^2+CM7^2))/8)</f>
        <v>8.9843253901956063E-3</v>
      </c>
      <c r="CS7" s="255" t="e">
        <f ca="1">Ratio</f>
        <v>#N/A</v>
      </c>
      <c r="CT7" s="256" t="e">
        <f ca="1">(CR7/(CS7^2))</f>
        <v>#N/A</v>
      </c>
      <c r="CV7" s="250" t="s">
        <v>581</v>
      </c>
      <c r="CW7" s="251">
        <v>3.63</v>
      </c>
      <c r="CX7" s="251">
        <v>0</v>
      </c>
      <c r="CY7" s="339">
        <f ca="1">IF(ROLLWIDTH="Y",0,VALUE(Width)*0.5+1.99)</f>
        <v>0</v>
      </c>
      <c r="CZ7" s="251">
        <v>0.28299999999999997</v>
      </c>
      <c r="DA7" s="252">
        <v>1</v>
      </c>
      <c r="DB7" s="253">
        <f ca="1">((PI()*CY7*CZ7/4)*(CW7^2-CX7^2))*DA7</f>
        <v>0</v>
      </c>
      <c r="DC7" s="254">
        <f ca="1">(((DB7/386.4)*(CW7^2+CX7^2))/8)</f>
        <v>0</v>
      </c>
      <c r="DD7" s="255" t="e">
        <f ca="1">Ratio</f>
        <v>#N/A</v>
      </c>
      <c r="DE7" s="256" t="e">
        <f ca="1">(DC7/(DD7^2))</f>
        <v>#N/A</v>
      </c>
      <c r="DG7" s="250" t="s">
        <v>581</v>
      </c>
      <c r="DH7" s="339">
        <v>3.63</v>
      </c>
      <c r="DI7" s="339">
        <v>0</v>
      </c>
      <c r="DJ7" s="339">
        <f ca="1">IF(ROLLWIDTH="Y",0,VALUE(Width)*0.5+1.99)</f>
        <v>0</v>
      </c>
      <c r="DK7" s="254">
        <v>0.28299999999999997</v>
      </c>
      <c r="DL7" s="252">
        <v>1</v>
      </c>
      <c r="DM7" s="340">
        <f ca="1">((PI()*DJ7*DK7/4)*(DH7^2-DI7^2))*DL7</f>
        <v>0</v>
      </c>
      <c r="DN7" s="254">
        <f ca="1">(((DM7/386.4)*(DH7^2+DI7^2))/8)</f>
        <v>0</v>
      </c>
      <c r="DO7" s="255" t="e">
        <f ca="1">Ratio</f>
        <v>#N/A</v>
      </c>
      <c r="DP7" s="256" t="e">
        <f ca="1">(DN7/(DO7^2))</f>
        <v>#N/A</v>
      </c>
      <c r="DR7" s="250"/>
      <c r="DS7" s="255">
        <v>4</v>
      </c>
      <c r="DT7" s="339">
        <v>0</v>
      </c>
      <c r="DU7" s="342">
        <f ca="1">IF(ROLLWIDTH ="Y",0,(VALUE(Width)+1.725)-(VALUE(Width)*0.5))</f>
        <v>0</v>
      </c>
      <c r="DV7" s="251">
        <v>0.28299999999999997</v>
      </c>
      <c r="DW7" s="252">
        <v>1</v>
      </c>
      <c r="DX7" s="340">
        <f ca="1">((PI()*DU7*DV7/4)*(DS7^2-DT7^2))*DW7</f>
        <v>0</v>
      </c>
      <c r="DY7" s="254">
        <f ca="1">(((DX7/386.4)*(DS7^2+DT7^2))/8)</f>
        <v>0</v>
      </c>
      <c r="DZ7" s="341" t="e">
        <f ca="1">Ratio</f>
        <v>#N/A</v>
      </c>
      <c r="EA7" s="256" t="e">
        <f ca="1">(DY7/(DZ7^2))</f>
        <v>#N/A</v>
      </c>
      <c r="EC7" s="250"/>
      <c r="ED7" s="255">
        <v>4.5</v>
      </c>
      <c r="EE7" s="339">
        <v>0</v>
      </c>
      <c r="EF7" s="342">
        <f ca="1">IF(ROLLWIDTH ="Y",0,(VALUE(Width)+1.725)-(VALUE(Width)*0.5))</f>
        <v>0</v>
      </c>
      <c r="EG7" s="251">
        <v>0.28299999999999997</v>
      </c>
      <c r="EH7" s="252">
        <v>1</v>
      </c>
      <c r="EI7" s="340">
        <f ca="1">((PI()*EF7*EG7/4)*(ED7^2-EE7^2))*EH7</f>
        <v>0</v>
      </c>
      <c r="EJ7" s="254">
        <f ca="1">(((EI7/386.4)*(ED7^2+EE7^2))/8)</f>
        <v>0</v>
      </c>
      <c r="EK7" s="341" t="e">
        <f ca="1">Ratio</f>
        <v>#N/A</v>
      </c>
      <c r="EL7" s="256" t="e">
        <f ca="1">(EJ7/(EK7^2))</f>
        <v>#N/A</v>
      </c>
      <c r="EN7" s="250"/>
      <c r="EO7" s="255">
        <v>4.5</v>
      </c>
      <c r="EP7" s="339">
        <v>0</v>
      </c>
      <c r="EQ7" s="342">
        <f ca="1">IF(ROLLWIDTH ="Y",0,(VALUE(Width)+1.725)-(VALUE(Width)*0.5))</f>
        <v>0</v>
      </c>
      <c r="ER7" s="251">
        <v>0.28299999999999997</v>
      </c>
      <c r="ES7" s="252">
        <v>1</v>
      </c>
      <c r="ET7" s="340">
        <f ca="1">((PI()*EQ7*ER7/4)*(EO7^2-EP7^2))*ES7</f>
        <v>0</v>
      </c>
      <c r="EU7" s="254">
        <f ca="1">(((ET7/386.4)*(EO7^2+EP7^2))/8)</f>
        <v>0</v>
      </c>
      <c r="EV7" s="341" t="e">
        <f ca="1">Ratio</f>
        <v>#N/A</v>
      </c>
      <c r="EW7" s="256" t="e">
        <f ca="1">(EU7/(EV7^2))</f>
        <v>#N/A</v>
      </c>
      <c r="EY7" s="250"/>
      <c r="EZ7" s="339">
        <v>6</v>
      </c>
      <c r="FA7" s="339">
        <v>0</v>
      </c>
      <c r="FB7" s="342">
        <v>3</v>
      </c>
      <c r="FC7" s="251">
        <v>0.28299999999999997</v>
      </c>
      <c r="FD7" s="252">
        <v>1</v>
      </c>
      <c r="FE7" s="340">
        <f>((PI()*FB7*FC7/4)*(EZ7^2-FA7^2))*FD7</f>
        <v>24.004909466079607</v>
      </c>
      <c r="FF7" s="254">
        <f>(((FE7/386.4)*(EZ7^2+FA7^2))/8)</f>
        <v>0.27956028104906377</v>
      </c>
      <c r="FG7" s="341" t="e">
        <f ca="1">Ratio</f>
        <v>#N/A</v>
      </c>
      <c r="FH7" s="256" t="e">
        <f ca="1">(FF7/(FG7^2))</f>
        <v>#N/A</v>
      </c>
      <c r="FJ7" s="250"/>
      <c r="FK7" s="339">
        <v>6</v>
      </c>
      <c r="FL7" s="339">
        <v>0</v>
      </c>
      <c r="FM7" s="342">
        <f ca="1">IF(ROLLWIDTH ="Y",0,(VALUE(Width)+1.75)-(VALUE(Width)*0.5))</f>
        <v>0</v>
      </c>
      <c r="FN7" s="251">
        <v>0.28299999999999997</v>
      </c>
      <c r="FO7" s="252">
        <v>1</v>
      </c>
      <c r="FP7" s="340">
        <f ca="1">((PI()*FM7*FN7/4)*(FK7^2-FL7^2))*FO7</f>
        <v>0</v>
      </c>
      <c r="FQ7" s="254">
        <f ca="1">(((FP7/386.4)*(FK7^2+FL7^2))/8)</f>
        <v>0</v>
      </c>
      <c r="FR7" s="341" t="e">
        <f ca="1">Ratio</f>
        <v>#N/A</v>
      </c>
      <c r="FS7" s="256" t="e">
        <f ca="1">(FQ7/(FR7^2))</f>
        <v>#N/A</v>
      </c>
      <c r="FU7" s="250"/>
      <c r="FV7" s="378">
        <v>7</v>
      </c>
      <c r="FW7" s="378">
        <v>0</v>
      </c>
      <c r="FX7" s="379">
        <f ca="1">IF(ROLLWIDTH ="Y",0,(VALUE(Width)+1.75)-(VALUE(Width)*0.5))</f>
        <v>0</v>
      </c>
      <c r="FY7" s="251">
        <v>0.28299999999999997</v>
      </c>
      <c r="FZ7" s="252">
        <v>1</v>
      </c>
      <c r="GA7" s="340">
        <f ca="1">((PI()*FX7*FY7/4)*(FV7^2-FW7^2))*FZ7</f>
        <v>0</v>
      </c>
      <c r="GB7" s="254">
        <f ca="1">(((GA7/386.4)*(FV7^2+FW7^2))/8)</f>
        <v>0</v>
      </c>
      <c r="GC7" s="341" t="e">
        <f ca="1">Ratio</f>
        <v>#N/A</v>
      </c>
      <c r="GD7" s="256" t="e">
        <f ca="1">(GB7/(GC7^2))</f>
        <v>#N/A</v>
      </c>
    </row>
    <row r="8" spans="1:186" ht="15.75" x14ac:dyDescent="0.25">
      <c r="A8" s="250" t="s">
        <v>580</v>
      </c>
      <c r="B8" s="251">
        <v>1</v>
      </c>
      <c r="C8" s="251">
        <v>0</v>
      </c>
      <c r="D8" s="251">
        <v>4.25</v>
      </c>
      <c r="E8" s="251">
        <v>0.28299999999999997</v>
      </c>
      <c r="F8" s="257">
        <v>1</v>
      </c>
      <c r="G8" s="253">
        <f>((PI()*D8*E8/4)*(B8^2-C8^2))*F8</f>
        <v>0.94463764102628089</v>
      </c>
      <c r="H8" s="254">
        <f>(((G8/386.4)*(B8^2+C8^2))/8)</f>
        <v>3.0558929898624515E-4</v>
      </c>
      <c r="I8" s="255" t="e">
        <f ca="1">Ratio</f>
        <v>#N/A</v>
      </c>
      <c r="J8" s="256" t="e">
        <f ca="1">(H8/(I8^2))</f>
        <v>#N/A</v>
      </c>
      <c r="L8" s="250" t="s">
        <v>580</v>
      </c>
      <c r="M8" s="251">
        <v>1</v>
      </c>
      <c r="N8" s="251">
        <v>0</v>
      </c>
      <c r="O8" s="251">
        <v>4.25</v>
      </c>
      <c r="P8" s="251">
        <v>0.28299999999999997</v>
      </c>
      <c r="Q8" s="257">
        <v>1</v>
      </c>
      <c r="R8" s="253">
        <f>((PI()*P8*O8/4)*(M8^2-N8^2))*Q8</f>
        <v>0.94463764102628078</v>
      </c>
      <c r="S8" s="254">
        <f>(((R8/386.4)*(M8^2+N8^2))/8)</f>
        <v>3.055892989862451E-4</v>
      </c>
      <c r="T8" s="255" t="e">
        <f ca="1">Ratio</f>
        <v>#N/A</v>
      </c>
      <c r="U8" s="256" t="e">
        <f ca="1">(S8/(T8^2))</f>
        <v>#N/A</v>
      </c>
      <c r="W8" s="250" t="s">
        <v>580</v>
      </c>
      <c r="X8" s="251">
        <v>1</v>
      </c>
      <c r="Y8" s="251">
        <v>0</v>
      </c>
      <c r="Z8" s="251">
        <v>4.25</v>
      </c>
      <c r="AA8" s="251">
        <v>0.28299999999999997</v>
      </c>
      <c r="AB8" s="257">
        <v>1</v>
      </c>
      <c r="AC8" s="253">
        <f>((PI()*Z8*AA8/4)*(X8^2-Y8^2))*AB8</f>
        <v>0.94463764102628089</v>
      </c>
      <c r="AD8" s="254">
        <f>(((AC8/386.4)*(X8^2+Y8^2))/8)</f>
        <v>3.0558929898624515E-4</v>
      </c>
      <c r="AE8" s="255" t="e">
        <f ca="1">Ratio</f>
        <v>#N/A</v>
      </c>
      <c r="AF8" s="256" t="e">
        <f ca="1">(AD8/(AE8^2))</f>
        <v>#N/A</v>
      </c>
      <c r="AH8" s="250" t="s">
        <v>580</v>
      </c>
      <c r="AI8" s="251">
        <v>1</v>
      </c>
      <c r="AJ8" s="251">
        <v>0</v>
      </c>
      <c r="AK8" s="251">
        <v>4.25</v>
      </c>
      <c r="AL8" s="251">
        <v>0.28299999999999997</v>
      </c>
      <c r="AM8" s="257">
        <v>1</v>
      </c>
      <c r="AN8" s="253">
        <f>((PI()*AK8*AL8/4)*(AI8^2-AJ8^2))*AM8</f>
        <v>0.94463764102628089</v>
      </c>
      <c r="AO8" s="254">
        <f>(((AN8/386.4)*(AI8^2+AJ8^2))/8)</f>
        <v>3.0558929898624515E-4</v>
      </c>
      <c r="AP8" s="255" t="e">
        <f ca="1">Ratio</f>
        <v>#N/A</v>
      </c>
      <c r="AQ8" s="256" t="e">
        <f ca="1">(AO8/(AP8^2))</f>
        <v>#N/A</v>
      </c>
      <c r="AS8" s="250" t="s">
        <v>581</v>
      </c>
      <c r="AT8" s="251">
        <v>2.63</v>
      </c>
      <c r="AU8" s="251">
        <v>0</v>
      </c>
      <c r="AV8" s="251">
        <f ca="1">IF(ROLLWIDTH="Y", 0, VALUE(Width)*0.5+1.99)</f>
        <v>0</v>
      </c>
      <c r="AW8" s="251">
        <v>0.28299999999999997</v>
      </c>
      <c r="AX8" s="257">
        <v>1</v>
      </c>
      <c r="AY8" s="253">
        <f ca="1">((PI()*AV8*AW8/4)*(AT8^2-AU8^2))*AX8</f>
        <v>0</v>
      </c>
      <c r="AZ8" s="254">
        <f ca="1">(((AY8/386.4)*(AT8^2+AU8^2))/8)</f>
        <v>0</v>
      </c>
      <c r="BA8" s="251" t="e">
        <f ca="1">Ratio</f>
        <v>#N/A</v>
      </c>
      <c r="BB8" s="256" t="e">
        <f ca="1">(AZ8/(BA8^2))</f>
        <v>#N/A</v>
      </c>
      <c r="BD8" s="250" t="s">
        <v>581</v>
      </c>
      <c r="BE8" s="251">
        <v>2.63</v>
      </c>
      <c r="BF8" s="251">
        <v>0</v>
      </c>
      <c r="BG8" s="251">
        <f ca="1">IF(ROLLWIDTH="Y", 0, VALUE(Width)*0.5+1.99)</f>
        <v>0</v>
      </c>
      <c r="BH8" s="251">
        <v>0.28299999999999997</v>
      </c>
      <c r="BI8" s="257">
        <v>1</v>
      </c>
      <c r="BJ8" s="253">
        <f ca="1">((PI()*BG8*BH8/4)*(BE8^2-BF8^2))*BI8</f>
        <v>0</v>
      </c>
      <c r="BK8" s="254">
        <f ca="1">(((BJ8/386.4)*(BE8^2+BF8^2))/8)</f>
        <v>0</v>
      </c>
      <c r="BL8" s="251" t="e">
        <f ca="1">Ratio</f>
        <v>#N/A</v>
      </c>
      <c r="BM8" s="256" t="e">
        <f ca="1">(BK8/(BL8^2))</f>
        <v>#N/A</v>
      </c>
      <c r="BO8" s="250" t="s">
        <v>581</v>
      </c>
      <c r="BP8" s="251">
        <v>2.63</v>
      </c>
      <c r="BQ8" s="251">
        <v>0</v>
      </c>
      <c r="BR8" s="251">
        <f ca="1">IF(ROLLWIDTH="Y", 0, VALUE(Width)*0.5+1.99)</f>
        <v>0</v>
      </c>
      <c r="BS8" s="251">
        <v>0.28299999999999997</v>
      </c>
      <c r="BT8" s="257">
        <v>1</v>
      </c>
      <c r="BU8" s="253">
        <f ca="1">((PI()*BR8*BS8/4)*(BP8^2-BQ8^2))*BT8</f>
        <v>0</v>
      </c>
      <c r="BV8" s="254">
        <f ca="1">(((BU8/386.4)*(BP8^2+BQ8^2))/8)</f>
        <v>0</v>
      </c>
      <c r="BW8" s="255" t="e">
        <f ca="1">Ratio</f>
        <v>#N/A</v>
      </c>
      <c r="BX8" s="256" t="e">
        <f ca="1">(BV8/(BW8^2))</f>
        <v>#N/A</v>
      </c>
      <c r="BZ8" s="250" t="s">
        <v>581</v>
      </c>
      <c r="CA8" s="251">
        <v>3.63</v>
      </c>
      <c r="CB8" s="251">
        <v>0</v>
      </c>
      <c r="CC8" s="251">
        <f ca="1">IF(ROLLWIDTH="Y", 0, VALUE(Width)*0.5+1.99)</f>
        <v>0</v>
      </c>
      <c r="CD8" s="251">
        <v>0.28299999999999997</v>
      </c>
      <c r="CE8" s="257">
        <v>1</v>
      </c>
      <c r="CF8" s="253">
        <f ca="1">((PI()*CC8*CD8/4)*(CA8^2-CB8^2))*CE8</f>
        <v>0</v>
      </c>
      <c r="CG8" s="254">
        <f ca="1">(((CF8/386.4)*(CA8^2+CB8^2))/8)</f>
        <v>0</v>
      </c>
      <c r="CH8" s="255" t="e">
        <f ca="1">Ratio</f>
        <v>#N/A</v>
      </c>
      <c r="CI8" s="256" t="e">
        <f ca="1">(CG8/(CH8^2))</f>
        <v>#N/A</v>
      </c>
      <c r="CK8" s="250" t="s">
        <v>581</v>
      </c>
      <c r="CL8" s="251">
        <v>3.63</v>
      </c>
      <c r="CM8" s="251">
        <v>0</v>
      </c>
      <c r="CN8" s="251">
        <f ca="1">IF(ROLLWIDTH="Y", 0, VALUE(Width)*0.5+1.99)</f>
        <v>0</v>
      </c>
      <c r="CO8" s="251">
        <v>0.28299999999999997</v>
      </c>
      <c r="CP8" s="257">
        <v>1</v>
      </c>
      <c r="CQ8" s="253">
        <f ca="1">((PI()*CN8*CO8/4)*(CL8^2-CM8^2))*CP8</f>
        <v>0</v>
      </c>
      <c r="CR8" s="254">
        <f ca="1">(((CQ8/386.4)*(CL8^2+CM8^2))/8)</f>
        <v>0</v>
      </c>
      <c r="CS8" s="255" t="e">
        <f ca="1">Ratio</f>
        <v>#N/A</v>
      </c>
      <c r="CT8" s="256" t="e">
        <f ca="1">(CR8/(CS8^2))</f>
        <v>#N/A</v>
      </c>
      <c r="CV8" s="250" t="s">
        <v>580</v>
      </c>
      <c r="CW8" s="251">
        <v>2.165</v>
      </c>
      <c r="CX8" s="251">
        <v>0</v>
      </c>
      <c r="CY8" s="339">
        <v>7.01</v>
      </c>
      <c r="CZ8" s="251">
        <v>0.28299999999999997</v>
      </c>
      <c r="DA8" s="257">
        <v>1</v>
      </c>
      <c r="DB8" s="253">
        <f>((PI()*CY8*CZ8/4)*(CW8^2-CX8^2))*DA8</f>
        <v>7.3031485789142243</v>
      </c>
      <c r="DC8" s="254">
        <f>(((DB8/386.4)*(CW8^2+CX8^2))/8)</f>
        <v>1.1073855007052675E-2</v>
      </c>
      <c r="DD8" s="255" t="e">
        <f ca="1">Ratio</f>
        <v>#N/A</v>
      </c>
      <c r="DE8" s="256" t="e">
        <f ca="1">(DC8/(DD8^2))</f>
        <v>#N/A</v>
      </c>
      <c r="DG8" s="250" t="s">
        <v>580</v>
      </c>
      <c r="DH8" s="339">
        <v>2.165</v>
      </c>
      <c r="DI8" s="339">
        <v>0</v>
      </c>
      <c r="DJ8" s="339">
        <v>7.01</v>
      </c>
      <c r="DK8" s="254">
        <v>0.28299999999999997</v>
      </c>
      <c r="DL8" s="257">
        <v>1</v>
      </c>
      <c r="DM8" s="340">
        <f>((PI()*DJ8*DK8/4)*(DH8^2-DI8^2))*DL8</f>
        <v>7.3031485789142243</v>
      </c>
      <c r="DN8" s="254">
        <f>(((DM8/386.4)*(DH8^2+DI8^2))/8)</f>
        <v>1.1073855007052675E-2</v>
      </c>
      <c r="DO8" s="255" t="e">
        <f ca="1">Ratio</f>
        <v>#N/A</v>
      </c>
      <c r="DP8" s="256" t="e">
        <f ca="1">(DN8/(DO8^2))</f>
        <v>#N/A</v>
      </c>
      <c r="DR8" s="250" t="s">
        <v>580</v>
      </c>
      <c r="DS8" s="255">
        <v>2.165</v>
      </c>
      <c r="DT8" s="339">
        <v>0</v>
      </c>
      <c r="DU8" s="342">
        <v>4.6500000000000004</v>
      </c>
      <c r="DV8" s="251">
        <v>0.28299999999999997</v>
      </c>
      <c r="DW8" s="252">
        <v>1</v>
      </c>
      <c r="DX8" s="340">
        <f>((PI()*DU8*DV8/4)*(DS8^2-DT8^2))*DW8</f>
        <v>4.8444566179673538</v>
      </c>
      <c r="DY8" s="254">
        <f>(((DX8/386.4)*(DS8^2+DT8^2))/8)</f>
        <v>7.3457098120962823E-3</v>
      </c>
      <c r="DZ8" s="341" t="e">
        <f ca="1">Ratio</f>
        <v>#N/A</v>
      </c>
      <c r="EA8" s="256" t="e">
        <f ca="1">(DY8/(DZ8^2))</f>
        <v>#N/A</v>
      </c>
      <c r="EC8" s="250" t="s">
        <v>580</v>
      </c>
      <c r="ED8" s="255">
        <v>2.7549999999999999</v>
      </c>
      <c r="EE8" s="339">
        <v>0</v>
      </c>
      <c r="EF8" s="339">
        <v>4.6500000000000004</v>
      </c>
      <c r="EG8" s="251">
        <v>0.28299999999999997</v>
      </c>
      <c r="EH8" s="252">
        <v>1</v>
      </c>
      <c r="EI8" s="340">
        <f>((PI()*EF8*EG8/4)*(ED8^2-EE8^2))*EH8</f>
        <v>7.8446302112204274</v>
      </c>
      <c r="EJ8" s="254">
        <f>(((EI8/386.4)*(ED8^2+EE8^2))/8)</f>
        <v>1.9261432265436831E-2</v>
      </c>
      <c r="EK8" s="341" t="e">
        <f ca="1">Ratio</f>
        <v>#N/A</v>
      </c>
      <c r="EL8" s="256" t="e">
        <f ca="1">(EJ8/(EK8^2))</f>
        <v>#N/A</v>
      </c>
      <c r="EN8" s="250" t="s">
        <v>580</v>
      </c>
      <c r="EO8" s="255">
        <v>2.7549999999999999</v>
      </c>
      <c r="EP8" s="339">
        <v>0</v>
      </c>
      <c r="EQ8" s="339">
        <v>4.6500000000000004</v>
      </c>
      <c r="ER8" s="251">
        <v>0.28299999999999997</v>
      </c>
      <c r="ES8" s="252">
        <v>1</v>
      </c>
      <c r="ET8" s="340">
        <f>((PI()*EQ8*ER8/4)*(EO8^2-EP8^2))*ES8</f>
        <v>7.8446302112204274</v>
      </c>
      <c r="EU8" s="254">
        <f>(((ET8/386.4)*(EO8^2+EP8^2))/8)</f>
        <v>1.9261432265436831E-2</v>
      </c>
      <c r="EV8" s="341" t="e">
        <f ca="1">Ratio</f>
        <v>#N/A</v>
      </c>
      <c r="EW8" s="256" t="e">
        <f ca="1">(EU8/(EV8^2))</f>
        <v>#N/A</v>
      </c>
      <c r="EY8" s="250" t="s">
        <v>580</v>
      </c>
      <c r="EZ8" s="339">
        <v>2.75</v>
      </c>
      <c r="FA8" s="339">
        <v>0</v>
      </c>
      <c r="FB8" s="339">
        <v>4.6500000000000004</v>
      </c>
      <c r="FC8" s="251">
        <v>0.28299999999999997</v>
      </c>
      <c r="FD8" s="252">
        <v>1</v>
      </c>
      <c r="FE8" s="340">
        <f>((PI()*FB8*FC8/4)*(EZ8^2-FA8^2))*FD8</f>
        <v>7.8161818929917199</v>
      </c>
      <c r="FF8" s="254">
        <f>(((FE8/386.4)*(EZ8^2+FA8^2))/8)</f>
        <v>1.9121983555172712E-2</v>
      </c>
      <c r="FG8" s="341" t="e">
        <f ca="1">Ratio</f>
        <v>#N/A</v>
      </c>
      <c r="FH8" s="256" t="e">
        <f ca="1">(FF8/(FG8^2))</f>
        <v>#N/A</v>
      </c>
      <c r="FJ8" s="250" t="s">
        <v>580</v>
      </c>
      <c r="FK8" s="339">
        <v>2.75</v>
      </c>
      <c r="FL8" s="339">
        <v>0</v>
      </c>
      <c r="FM8" s="339">
        <v>4.63</v>
      </c>
      <c r="FN8" s="251">
        <v>0.28299999999999997</v>
      </c>
      <c r="FO8" s="252">
        <v>1</v>
      </c>
      <c r="FP8" s="340">
        <f>((PI()*FM8*FN8/4)*(FK8^2-FL8^2))*FO8</f>
        <v>7.7825639063551959</v>
      </c>
      <c r="FQ8" s="254">
        <f>(((FP8/386.4)*(FK8^2+FL8^2))/8)</f>
        <v>1.9039738464612828E-2</v>
      </c>
      <c r="FR8" s="341" t="e">
        <f ca="1">Ratio</f>
        <v>#N/A</v>
      </c>
      <c r="FS8" s="256" t="e">
        <f ca="1">(FQ8/(FR8^2))</f>
        <v>#N/A</v>
      </c>
      <c r="FU8" s="250" t="s">
        <v>580</v>
      </c>
      <c r="FV8" s="378">
        <v>3.54</v>
      </c>
      <c r="FW8" s="378">
        <v>0</v>
      </c>
      <c r="FX8" s="379">
        <v>5</v>
      </c>
      <c r="FY8" s="251">
        <v>0.28299999999999997</v>
      </c>
      <c r="FZ8" s="252">
        <v>1</v>
      </c>
      <c r="GA8" s="340">
        <f>((PI()*FX8*FY8/4)*(FV8^2-FW8^2))*FZ8</f>
        <v>13.92684830857052</v>
      </c>
      <c r="GB8" s="254">
        <f>(((GA8/386.4)*(FV8^2+FW8^2))/8)</f>
        <v>5.6458880778882746E-2</v>
      </c>
      <c r="GC8" s="341" t="e">
        <f ca="1">Ratio</f>
        <v>#N/A</v>
      </c>
      <c r="GD8" s="256" t="e">
        <f ca="1">(GB8/(GC8^2))</f>
        <v>#N/A</v>
      </c>
    </row>
    <row r="9" spans="1:186" ht="15.75" x14ac:dyDescent="0.25">
      <c r="A9" s="250"/>
      <c r="B9" s="251"/>
      <c r="C9" s="251"/>
      <c r="D9" s="251"/>
      <c r="E9" s="251"/>
      <c r="F9" s="245"/>
      <c r="G9" s="253"/>
      <c r="H9" s="254"/>
      <c r="I9" s="255"/>
      <c r="J9" s="256"/>
      <c r="L9" s="250"/>
      <c r="M9" s="251"/>
      <c r="N9" s="251"/>
      <c r="O9" s="251"/>
      <c r="P9" s="251"/>
      <c r="Q9" s="245"/>
      <c r="R9" s="253"/>
      <c r="S9" s="254"/>
      <c r="T9" s="255"/>
      <c r="U9" s="256"/>
      <c r="W9" s="250"/>
      <c r="X9" s="251"/>
      <c r="Y9" s="251"/>
      <c r="Z9" s="251"/>
      <c r="AA9" s="251"/>
      <c r="AB9" s="245"/>
      <c r="AC9" s="253"/>
      <c r="AD9" s="254"/>
      <c r="AE9" s="255"/>
      <c r="AF9" s="256"/>
      <c r="AH9" s="250"/>
      <c r="AI9" s="251"/>
      <c r="AJ9" s="251"/>
      <c r="AK9" s="251"/>
      <c r="AL9" s="251"/>
      <c r="AM9" s="245"/>
      <c r="AN9" s="253"/>
      <c r="AO9" s="254"/>
      <c r="AP9" s="245"/>
      <c r="AQ9" s="245"/>
      <c r="AS9" s="250" t="s">
        <v>580</v>
      </c>
      <c r="AT9" s="251">
        <v>1.5745</v>
      </c>
      <c r="AU9" s="251">
        <v>0</v>
      </c>
      <c r="AV9" s="251">
        <v>6.14</v>
      </c>
      <c r="AW9" s="251">
        <v>0.28299999999999997</v>
      </c>
      <c r="AX9" s="257">
        <v>1</v>
      </c>
      <c r="AY9" s="253">
        <f>((PI()*AV9*AW9/4)*(AT9^2-AU9^2))*AX9</f>
        <v>3.3832182743750723</v>
      </c>
      <c r="AZ9" s="254">
        <f>(((AY9/386.4)*(AT9^2+AU9^2))/8)</f>
        <v>2.7132402008585963E-3</v>
      </c>
      <c r="BA9" s="251" t="e">
        <f ca="1">Ratio</f>
        <v>#N/A</v>
      </c>
      <c r="BB9" s="256" t="e">
        <f ca="1">(AZ9/(BA9^2))</f>
        <v>#N/A</v>
      </c>
      <c r="BD9" s="250" t="s">
        <v>580</v>
      </c>
      <c r="BE9" s="251">
        <v>1.5745</v>
      </c>
      <c r="BF9" s="251">
        <v>0</v>
      </c>
      <c r="BG9" s="251">
        <v>6.14</v>
      </c>
      <c r="BH9" s="251">
        <v>0.28299999999999997</v>
      </c>
      <c r="BI9" s="257">
        <v>1</v>
      </c>
      <c r="BJ9" s="253">
        <f>((PI()*BG9*BH9/4)*(BE9^2-BF9^2))*BI9</f>
        <v>3.3832182743750723</v>
      </c>
      <c r="BK9" s="254">
        <f>(((BJ9/386.4)*(BE9^2+BF9^2))/8)</f>
        <v>2.7132402008585963E-3</v>
      </c>
      <c r="BL9" s="251" t="e">
        <f ca="1">Ratio</f>
        <v>#N/A</v>
      </c>
      <c r="BM9" s="256" t="e">
        <f ca="1">(BK9/(BL9^2))</f>
        <v>#N/A</v>
      </c>
      <c r="BO9" s="250" t="s">
        <v>580</v>
      </c>
      <c r="BP9" s="251">
        <v>1.5745</v>
      </c>
      <c r="BQ9" s="251">
        <v>0</v>
      </c>
      <c r="BR9" s="251">
        <v>7.01</v>
      </c>
      <c r="BS9" s="251">
        <v>0.28299999999999997</v>
      </c>
      <c r="BT9" s="257">
        <v>1</v>
      </c>
      <c r="BU9" s="253">
        <f>((PI()*BR9*BS9/4)*(BP9^2-BQ9^2))*BT9</f>
        <v>3.8625993653695856</v>
      </c>
      <c r="BV9" s="254">
        <f>(((BU9/386.4)*(BP9^2+BQ9^2))/8)</f>
        <v>3.0976895452799278E-3</v>
      </c>
      <c r="BW9" s="255" t="e">
        <f ca="1">Ratio</f>
        <v>#N/A</v>
      </c>
      <c r="BX9" s="256" t="e">
        <f ca="1">(BV9/(BW9^2))</f>
        <v>#N/A</v>
      </c>
      <c r="BZ9" s="250" t="s">
        <v>580</v>
      </c>
      <c r="CA9" s="251">
        <v>2.165</v>
      </c>
      <c r="CB9" s="251">
        <v>0</v>
      </c>
      <c r="CC9" s="251">
        <v>7.01</v>
      </c>
      <c r="CD9" s="251">
        <v>0.28299999999999997</v>
      </c>
      <c r="CE9" s="257">
        <v>1</v>
      </c>
      <c r="CF9" s="253">
        <f>((PI()*CC9*CD9/4)*(CA9^2-CB9^2))*CE9</f>
        <v>7.3031485789142243</v>
      </c>
      <c r="CG9" s="254">
        <f>(((CF9/386.4)*(CA9^2+CB9^2))/8)</f>
        <v>1.1073855007052675E-2</v>
      </c>
      <c r="CH9" s="255" t="e">
        <f ca="1">Ratio</f>
        <v>#N/A</v>
      </c>
      <c r="CI9" s="256" t="e">
        <f ca="1">(CG9/(CH9^2))</f>
        <v>#N/A</v>
      </c>
      <c r="CK9" s="250" t="s">
        <v>580</v>
      </c>
      <c r="CL9" s="251">
        <v>2.165</v>
      </c>
      <c r="CM9" s="251">
        <v>0</v>
      </c>
      <c r="CN9" s="251">
        <v>7.01</v>
      </c>
      <c r="CO9" s="251">
        <v>0.28299999999999997</v>
      </c>
      <c r="CP9" s="257">
        <v>1</v>
      </c>
      <c r="CQ9" s="253">
        <f>((PI()*CN9*CO9/4)*(CL9^2-CM9^2))*CP9</f>
        <v>7.3031485789142243</v>
      </c>
      <c r="CR9" s="254">
        <f>(((CQ9/386.4)*(CL9^2+CM9^2))/8)</f>
        <v>1.1073855007052675E-2</v>
      </c>
      <c r="CS9" s="255" t="e">
        <f ca="1">Ratio</f>
        <v>#N/A</v>
      </c>
      <c r="CT9" s="256" t="e">
        <f ca="1">(CR9/(CS9^2))</f>
        <v>#N/A</v>
      </c>
      <c r="CV9" s="250"/>
      <c r="CW9" s="251"/>
      <c r="CX9" s="251"/>
      <c r="CY9" s="339"/>
      <c r="CZ9" s="251"/>
      <c r="DA9" s="257"/>
      <c r="DB9" s="253"/>
      <c r="DC9" s="254"/>
      <c r="DD9" s="255"/>
      <c r="DE9" s="256"/>
      <c r="DG9" s="250"/>
      <c r="DH9" s="339"/>
      <c r="DI9" s="339"/>
      <c r="DJ9" s="339"/>
      <c r="DK9" s="254"/>
      <c r="DL9" s="257"/>
      <c r="DM9" s="340"/>
      <c r="DN9" s="254"/>
      <c r="DO9" s="255"/>
      <c r="DP9" s="256"/>
      <c r="DR9" s="250"/>
      <c r="DS9" s="341"/>
      <c r="DT9" s="341"/>
      <c r="DU9" s="258"/>
      <c r="DV9" s="251"/>
      <c r="DW9" s="252"/>
      <c r="DX9" s="340"/>
      <c r="DY9" s="254"/>
      <c r="DZ9" s="341"/>
      <c r="EA9" s="256"/>
      <c r="EC9" s="250"/>
      <c r="ED9" s="255">
        <v>2</v>
      </c>
      <c r="EE9" s="339">
        <v>0</v>
      </c>
      <c r="EF9" s="339">
        <v>3.52</v>
      </c>
      <c r="EG9" s="251">
        <v>0.28299999999999997</v>
      </c>
      <c r="EH9" s="252">
        <v>1</v>
      </c>
      <c r="EI9" s="340">
        <f>((PI()*EF9*EG9/4)*(ED9^2-EE9^2))*EH9</f>
        <v>3.129528937800008</v>
      </c>
      <c r="EJ9" s="254">
        <f>(((EI9/386.4)*(ED9^2+EE9^2))/8)</f>
        <v>4.0495974868012524E-3</v>
      </c>
      <c r="EK9" s="341" t="e">
        <f ca="1">Ratio</f>
        <v>#N/A</v>
      </c>
      <c r="EL9" s="256" t="e">
        <f ca="1">(EJ9/(EK9^2))</f>
        <v>#N/A</v>
      </c>
      <c r="EN9" s="250"/>
      <c r="EO9" s="255">
        <v>2</v>
      </c>
      <c r="EP9" s="339">
        <v>0</v>
      </c>
      <c r="EQ9" s="339">
        <v>3.52</v>
      </c>
      <c r="ER9" s="251">
        <v>0.28299999999999997</v>
      </c>
      <c r="ES9" s="252">
        <v>1</v>
      </c>
      <c r="ET9" s="340">
        <f>((PI()*EQ9*ER9/4)*(EO9^2-EP9^2))*ES9</f>
        <v>3.129528937800008</v>
      </c>
      <c r="EU9" s="254">
        <f>(((ET9/386.4)*(EO9^2+EP9^2))/8)</f>
        <v>4.0495974868012524E-3</v>
      </c>
      <c r="EV9" s="341" t="e">
        <f ca="1">Ratio</f>
        <v>#N/A</v>
      </c>
      <c r="EW9" s="256" t="e">
        <f ca="1">(EU9/(EV9^2))</f>
        <v>#N/A</v>
      </c>
      <c r="EY9" s="250"/>
      <c r="EZ9" s="339">
        <v>2</v>
      </c>
      <c r="FA9" s="339">
        <v>0</v>
      </c>
      <c r="FB9" s="339">
        <v>3.52</v>
      </c>
      <c r="FC9" s="251">
        <v>0.28299999999999997</v>
      </c>
      <c r="FD9" s="252">
        <v>1</v>
      </c>
      <c r="FE9" s="340">
        <f>((PI()*FB9*FC9/4)*(EZ9^2-FA9^2))*FD9</f>
        <v>3.129528937800008</v>
      </c>
      <c r="FF9" s="254">
        <f>(((FE9/386.4)*(EZ9^2+FA9^2))/8)</f>
        <v>4.0495974868012524E-3</v>
      </c>
      <c r="FG9" s="341" t="e">
        <f ca="1">Ratio</f>
        <v>#N/A</v>
      </c>
      <c r="FH9" s="256" t="e">
        <f ca="1">(FF9/(FG9^2))</f>
        <v>#N/A</v>
      </c>
      <c r="FJ9" s="250"/>
      <c r="FK9" s="339">
        <v>2</v>
      </c>
      <c r="FL9" s="339">
        <v>0</v>
      </c>
      <c r="FM9" s="339">
        <v>3.52</v>
      </c>
      <c r="FN9" s="251">
        <v>0.28299999999999997</v>
      </c>
      <c r="FO9" s="252">
        <v>1</v>
      </c>
      <c r="FP9" s="340">
        <f>((PI()*FM9*FN9/4)*(FK9^2-FL9^2))*FO9</f>
        <v>3.129528937800008</v>
      </c>
      <c r="FQ9" s="254">
        <f>(((FP9/386.4)*(FK9^2+FL9^2))/8)</f>
        <v>4.0495974868012524E-3</v>
      </c>
      <c r="FR9" s="341" t="e">
        <f ca="1">Ratio</f>
        <v>#N/A</v>
      </c>
      <c r="FS9" s="256" t="e">
        <f ca="1">(FQ9/(FR9^2))</f>
        <v>#N/A</v>
      </c>
      <c r="FU9" s="250"/>
      <c r="FV9" s="378">
        <v>2</v>
      </c>
      <c r="FW9" s="378">
        <v>0</v>
      </c>
      <c r="FX9" s="380">
        <v>3.52</v>
      </c>
      <c r="FY9" s="251">
        <v>0.28299999999999997</v>
      </c>
      <c r="FZ9" s="252">
        <v>1</v>
      </c>
      <c r="GA9" s="340">
        <f>((PI()*FX9*FY9/4)*(FV9^2-FW9^2))*FZ9</f>
        <v>3.129528937800008</v>
      </c>
      <c r="GB9" s="254">
        <f>(((GA9/386.4)*(FV9^2+FW9^2))/8)</f>
        <v>4.0495974868012524E-3</v>
      </c>
      <c r="GC9" s="341" t="e">
        <f ca="1">Ratio</f>
        <v>#N/A</v>
      </c>
      <c r="GD9" s="256" t="e">
        <f ca="1">(GB9/(GC9^2))</f>
        <v>#N/A</v>
      </c>
    </row>
    <row r="10" spans="1:186" ht="15.75" x14ac:dyDescent="0.25">
      <c r="A10" s="250" t="s">
        <v>582</v>
      </c>
      <c r="B10" s="251">
        <v>2.25</v>
      </c>
      <c r="C10" s="251">
        <v>0</v>
      </c>
      <c r="D10" s="251">
        <f ca="1">VALUE(Width)+2.5</f>
        <v>2.5</v>
      </c>
      <c r="E10" s="251">
        <v>0.28299999999999997</v>
      </c>
      <c r="F10" s="257">
        <v>1</v>
      </c>
      <c r="G10" s="253">
        <f ca="1">((PI()*D10*E10/4)*(B10^2-C10^2))*F10</f>
        <v>2.813075328056204</v>
      </c>
      <c r="H10" s="254">
        <f ca="1">(((G10/386.4)*(B10^2+C10^2))/8)</f>
        <v>4.6070114674833509E-3</v>
      </c>
      <c r="I10" s="255" t="e">
        <f ca="1">Ratio</f>
        <v>#N/A</v>
      </c>
      <c r="J10" s="256" t="e">
        <f ca="1">(H10/(I10^2))</f>
        <v>#N/A</v>
      </c>
      <c r="L10" s="250" t="s">
        <v>582</v>
      </c>
      <c r="M10" s="251">
        <v>2.25</v>
      </c>
      <c r="N10" s="251">
        <v>0</v>
      </c>
      <c r="O10" s="251">
        <f ca="1">VALUE(Width)+2.5</f>
        <v>2.5</v>
      </c>
      <c r="P10" s="251">
        <v>0.28299999999999997</v>
      </c>
      <c r="Q10" s="257">
        <v>1</v>
      </c>
      <c r="R10" s="253">
        <f ca="1">((PI()*P10*O10/4)*(M10^2-N10^2))*Q10</f>
        <v>2.813075328056204</v>
      </c>
      <c r="S10" s="254">
        <f ca="1">(((R10/386.4)*(M10^2+N10^2))/8)</f>
        <v>4.6070114674833509E-3</v>
      </c>
      <c r="T10" s="255" t="e">
        <f ca="1">Ratio</f>
        <v>#N/A</v>
      </c>
      <c r="U10" s="256" t="e">
        <f ca="1">(S10/(T10^2))</f>
        <v>#N/A</v>
      </c>
      <c r="W10" s="250" t="s">
        <v>582</v>
      </c>
      <c r="X10" s="251">
        <v>2.625</v>
      </c>
      <c r="Y10" s="251">
        <v>0</v>
      </c>
      <c r="Z10" s="251">
        <f ca="1">VALUE(Width)+2.5</f>
        <v>2.5</v>
      </c>
      <c r="AA10" s="251">
        <v>0.28299999999999997</v>
      </c>
      <c r="AB10" s="257">
        <v>1</v>
      </c>
      <c r="AC10" s="253">
        <f ca="1">((PI()*Z10*AA10/4)*(X10^2-Y10^2))*AB10</f>
        <v>3.8289080854098332</v>
      </c>
      <c r="AD10" s="254">
        <f ca="1">(((AC10/386.4)*(X10^2+Y10^2))/8)</f>
        <v>8.5350575103607454E-3</v>
      </c>
      <c r="AE10" s="255" t="e">
        <f ca="1">Ratio</f>
        <v>#N/A</v>
      </c>
      <c r="AF10" s="256" t="e">
        <f ca="1">(AD10/(AE10^2))</f>
        <v>#N/A</v>
      </c>
      <c r="AH10" s="250" t="s">
        <v>582</v>
      </c>
      <c r="AI10" s="251">
        <v>2.625</v>
      </c>
      <c r="AJ10" s="251">
        <v>0</v>
      </c>
      <c r="AK10" s="251">
        <f ca="1">VALUE(Width)+2.5</f>
        <v>2.5</v>
      </c>
      <c r="AL10" s="251">
        <v>0.28299999999999997</v>
      </c>
      <c r="AM10" s="257">
        <v>1</v>
      </c>
      <c r="AN10" s="253">
        <f ca="1">((PI()*AK10*AL10/4)*(AI10^2-AJ10^2))*AM10</f>
        <v>3.8289080854098332</v>
      </c>
      <c r="AO10" s="254">
        <f ca="1">(((AN10/386.4)*(AI10^2+AJ10^2))/8)</f>
        <v>8.5350575103607454E-3</v>
      </c>
      <c r="AP10" s="255" t="e">
        <f ca="1">Ratio</f>
        <v>#N/A</v>
      </c>
      <c r="AQ10" s="256" t="e">
        <f ca="1">(AO10/(AP10^2))</f>
        <v>#N/A</v>
      </c>
      <c r="AS10" s="250"/>
      <c r="AT10" s="251"/>
      <c r="AU10" s="251"/>
      <c r="AV10" s="251"/>
      <c r="AW10" s="251"/>
      <c r="AX10" s="245"/>
      <c r="AY10" s="253"/>
      <c r="AZ10" s="254"/>
      <c r="BA10" s="251"/>
      <c r="BB10" s="256"/>
      <c r="BD10" s="250"/>
      <c r="BE10" s="251"/>
      <c r="BF10" s="251"/>
      <c r="BG10" s="251"/>
      <c r="BH10" s="251"/>
      <c r="BI10" s="245"/>
      <c r="BJ10" s="253"/>
      <c r="BK10" s="254"/>
      <c r="BL10" s="251"/>
      <c r="BM10" s="245"/>
      <c r="BO10" s="250"/>
      <c r="BP10" s="251"/>
      <c r="BQ10" s="251"/>
      <c r="BR10" s="251"/>
      <c r="BS10" s="251"/>
      <c r="BT10" s="245"/>
      <c r="BU10" s="253"/>
      <c r="BV10" s="254"/>
      <c r="BW10" s="245"/>
      <c r="BX10" s="245"/>
      <c r="BZ10" s="250"/>
      <c r="CA10" s="251"/>
      <c r="CB10" s="251"/>
      <c r="CC10" s="251"/>
      <c r="CD10" s="251"/>
      <c r="CE10" s="245"/>
      <c r="CF10" s="253"/>
      <c r="CG10" s="254"/>
      <c r="CH10" s="245"/>
      <c r="CI10" s="245"/>
      <c r="CK10" s="250"/>
      <c r="CL10" s="251"/>
      <c r="CM10" s="251"/>
      <c r="CN10" s="251"/>
      <c r="CO10" s="251"/>
      <c r="CP10" s="245"/>
      <c r="CQ10" s="253"/>
      <c r="CR10" s="254"/>
      <c r="CS10" s="245"/>
      <c r="CT10" s="245"/>
      <c r="CV10" s="250" t="s">
        <v>583</v>
      </c>
      <c r="CW10" s="251">
        <v>4</v>
      </c>
      <c r="CX10" s="251">
        <v>0</v>
      </c>
      <c r="CY10" s="339">
        <f ca="1">IF(ROLLWIDTH="Y",VALUE(Width)+0.5,VALUE(Width)*0.5)</f>
        <v>0.5</v>
      </c>
      <c r="CZ10" s="251">
        <v>0.28299999999999997</v>
      </c>
      <c r="DA10" s="257">
        <v>1</v>
      </c>
      <c r="DB10" s="253">
        <f ca="1">((PI()*CY10*CZ10/4)*(CW10^2-CX10^2))*DA10</f>
        <v>1.7781414419318227</v>
      </c>
      <c r="DC10" s="254">
        <f ca="1">(((DB10/386.4)*(CW10^2+CX10^2))/8)</f>
        <v>9.2036306518210285E-3</v>
      </c>
      <c r="DD10" s="255" t="e">
        <f ca="1">Ratio</f>
        <v>#N/A</v>
      </c>
      <c r="DE10" s="256" t="e">
        <f ca="1">(DC10/(DD10^2))</f>
        <v>#N/A</v>
      </c>
      <c r="DG10" s="250" t="s">
        <v>583</v>
      </c>
      <c r="DH10" s="339">
        <v>4</v>
      </c>
      <c r="DI10" s="339">
        <v>0</v>
      </c>
      <c r="DJ10" s="339">
        <f ca="1">IF(ROLLWIDTH="Y",VALUE(Width)+0.5,VALUE(Width)*0.5)</f>
        <v>0.5</v>
      </c>
      <c r="DK10" s="254">
        <v>0.28299999999999997</v>
      </c>
      <c r="DL10" s="245">
        <v>1</v>
      </c>
      <c r="DM10" s="340">
        <f ca="1">((PI()*DJ10*DK10/4)*(DH10^2-DI10^2))*DL10</f>
        <v>1.7781414419318227</v>
      </c>
      <c r="DN10" s="254">
        <f ca="1">(((DM10/386.4)*(DH10^2+DI10^2))/8)</f>
        <v>9.2036306518210285E-3</v>
      </c>
      <c r="DO10" s="255" t="e">
        <f ca="1">Ratio</f>
        <v>#N/A</v>
      </c>
      <c r="DP10" s="256" t="e">
        <f ca="1">(DN10/(DO10^2))</f>
        <v>#N/A</v>
      </c>
      <c r="DR10" s="250" t="s">
        <v>582</v>
      </c>
      <c r="DS10" s="255">
        <v>5</v>
      </c>
      <c r="DT10" s="339">
        <v>0</v>
      </c>
      <c r="DU10" s="258">
        <f ca="1">IF(ROLLWIDTH="Y",VALUE(Width)+1,VALUE(Width)*0.5)</f>
        <v>1</v>
      </c>
      <c r="DV10" s="251">
        <v>0.28299999999999997</v>
      </c>
      <c r="DW10" s="252">
        <v>1</v>
      </c>
      <c r="DX10" s="340">
        <f ca="1">((PI()*DU10*DV10/4)*(DS10^2-DT10^2))*DW10</f>
        <v>5.556692006036946</v>
      </c>
      <c r="DY10" s="254">
        <f ca="1">(((DX10/386.4)*(DS10^2+DT10^2))/8)</f>
        <v>4.4939602792094864E-2</v>
      </c>
      <c r="DZ10" s="341" t="e">
        <f ca="1">Ratio</f>
        <v>#N/A</v>
      </c>
      <c r="EA10" s="256" t="e">
        <f ca="1">(DY10/(DZ10^2))</f>
        <v>#N/A</v>
      </c>
      <c r="EZ10" s="339"/>
      <c r="FA10" s="339"/>
      <c r="FJ10" s="250"/>
      <c r="FK10" s="339"/>
      <c r="FL10" s="339"/>
      <c r="FU10" s="250"/>
      <c r="FV10" s="379"/>
      <c r="FW10" s="379"/>
      <c r="FX10" s="2"/>
    </row>
    <row r="11" spans="1:186" ht="15.75" x14ac:dyDescent="0.25">
      <c r="A11" s="250" t="s">
        <v>580</v>
      </c>
      <c r="B11" s="251">
        <v>1</v>
      </c>
      <c r="C11" s="251">
        <v>0</v>
      </c>
      <c r="D11" s="251">
        <v>5.5</v>
      </c>
      <c r="E11" s="251">
        <v>0.28299999999999997</v>
      </c>
      <c r="F11" s="257">
        <v>1</v>
      </c>
      <c r="G11" s="253">
        <f>((PI()*D11*E11/4)*(B11^2-C11^2))*F11</f>
        <v>1.2224722413281279</v>
      </c>
      <c r="H11" s="254">
        <f>(((G11/386.4)*(B11^2+C11^2))/8)</f>
        <v>3.9546850457043481E-4</v>
      </c>
      <c r="I11" s="255" t="e">
        <f ca="1">Ratio</f>
        <v>#N/A</v>
      </c>
      <c r="J11" s="256" t="e">
        <f ca="1">(H11/(I11^2))</f>
        <v>#N/A</v>
      </c>
      <c r="L11" s="250" t="s">
        <v>580</v>
      </c>
      <c r="M11" s="251">
        <v>1</v>
      </c>
      <c r="N11" s="251">
        <v>0</v>
      </c>
      <c r="O11" s="251">
        <v>5.5</v>
      </c>
      <c r="P11" s="251">
        <v>0.28299999999999997</v>
      </c>
      <c r="Q11" s="257">
        <v>1</v>
      </c>
      <c r="R11" s="253">
        <f>((PI()*P11*O11/4)*(M11^2-N11^2))*Q11</f>
        <v>1.2224722413281282</v>
      </c>
      <c r="S11" s="254">
        <f>(((R11/386.4)*(M11^2+N11^2))/8)</f>
        <v>3.9546850457043486E-4</v>
      </c>
      <c r="T11" s="255" t="e">
        <f ca="1">Ratio</f>
        <v>#N/A</v>
      </c>
      <c r="U11" s="256" t="e">
        <f ca="1">(S11/(T11^2))</f>
        <v>#N/A</v>
      </c>
      <c r="W11" s="250" t="s">
        <v>580</v>
      </c>
      <c r="X11" s="251">
        <v>1</v>
      </c>
      <c r="Y11" s="251">
        <v>0</v>
      </c>
      <c r="Z11" s="251">
        <v>5.5</v>
      </c>
      <c r="AA11" s="251">
        <v>0.28299999999999997</v>
      </c>
      <c r="AB11" s="257">
        <v>1</v>
      </c>
      <c r="AC11" s="253">
        <f>((PI()*Z11*AA11/4)*(X11^2-Y11^2))*AB11</f>
        <v>1.2224722413281279</v>
      </c>
      <c r="AD11" s="254">
        <f>(((AC11/386.4)*(X11^2+Y11^2))/8)</f>
        <v>3.9546850457043481E-4</v>
      </c>
      <c r="AE11" s="255" t="e">
        <f ca="1">Ratio</f>
        <v>#N/A</v>
      </c>
      <c r="AF11" s="256" t="e">
        <f ca="1">(AD11/(AE11^2))</f>
        <v>#N/A</v>
      </c>
      <c r="AH11" s="250" t="s">
        <v>580</v>
      </c>
      <c r="AI11" s="251">
        <v>1</v>
      </c>
      <c r="AJ11" s="251">
        <v>0</v>
      </c>
      <c r="AK11" s="251">
        <v>5.5</v>
      </c>
      <c r="AL11" s="251">
        <v>0.28299999999999997</v>
      </c>
      <c r="AM11" s="257">
        <v>1</v>
      </c>
      <c r="AN11" s="253">
        <f>((PI()*AK11*AL11/4)*(AI11^2-AJ11^2))*AM11</f>
        <v>1.2224722413281279</v>
      </c>
      <c r="AO11" s="254">
        <f>(((AN11/386.4)*(AI11^2+AJ11^2))/8)</f>
        <v>3.9546850457043481E-4</v>
      </c>
      <c r="AP11" s="255" t="e">
        <f ca="1">Ratio</f>
        <v>#N/A</v>
      </c>
      <c r="AQ11" s="256" t="e">
        <f ca="1">(AO11/(AP11^2))</f>
        <v>#N/A</v>
      </c>
      <c r="AS11" s="250" t="s">
        <v>583</v>
      </c>
      <c r="AT11" s="251">
        <v>3</v>
      </c>
      <c r="AU11" s="251">
        <v>0</v>
      </c>
      <c r="AV11" s="251">
        <f ca="1">IF( ROLLWIDTH="Y",VALUE(Width) + 0.5,VALUE(Width)*0.5)</f>
        <v>0.5</v>
      </c>
      <c r="AW11" s="251">
        <v>0.28299999999999997</v>
      </c>
      <c r="AX11" s="257">
        <v>1</v>
      </c>
      <c r="AY11" s="253">
        <f ca="1">((PI()*AV11*AW11/4)*(AT11^2-AU11^2))*AX11</f>
        <v>1.0002045610866503</v>
      </c>
      <c r="AZ11" s="254">
        <f ca="1">(((AY11/386.4)*(AT11^2+AU11^2))/8)</f>
        <v>2.9120862609277481E-3</v>
      </c>
      <c r="BA11" s="251" t="e">
        <f ca="1">Ratio</f>
        <v>#N/A</v>
      </c>
      <c r="BB11" s="256" t="e">
        <f ca="1">(AZ11/(BA11^2))</f>
        <v>#N/A</v>
      </c>
      <c r="BD11" s="250" t="s">
        <v>583</v>
      </c>
      <c r="BE11" s="251">
        <v>3</v>
      </c>
      <c r="BF11" s="251">
        <v>0</v>
      </c>
      <c r="BG11" s="251">
        <f ca="1">IF( ROLLWIDTH="Y",VALUE(Width) + 0.5,VALUE(Width)*0.5)</f>
        <v>0.5</v>
      </c>
      <c r="BH11" s="251">
        <v>0.28299999999999997</v>
      </c>
      <c r="BI11" s="257">
        <v>1</v>
      </c>
      <c r="BJ11" s="253">
        <f ca="1">((PI()*BG11*BH11/4)*(BE11^2-BF11^2))*BI11</f>
        <v>1.0002045610866503</v>
      </c>
      <c r="BK11" s="254">
        <f ca="1">(((BJ11/386.4)*(BE11^2+BF11^2))/8)</f>
        <v>2.9120862609277481E-3</v>
      </c>
      <c r="BL11" s="251" t="e">
        <f ca="1">Ratio</f>
        <v>#N/A</v>
      </c>
      <c r="BM11" s="256" t="e">
        <f ca="1">(BK11/(BL11^2))</f>
        <v>#N/A</v>
      </c>
      <c r="BO11" s="250" t="s">
        <v>583</v>
      </c>
      <c r="BP11" s="251">
        <v>3</v>
      </c>
      <c r="BQ11" s="251">
        <v>0</v>
      </c>
      <c r="BR11" s="251">
        <f ca="1">IF( ROLLWIDTH="Y",VALUE(Width) + 0.5,VALUE(Width)*0.5)</f>
        <v>0.5</v>
      </c>
      <c r="BS11" s="251">
        <v>0.28299999999999997</v>
      </c>
      <c r="BT11" s="257">
        <v>1</v>
      </c>
      <c r="BU11" s="253">
        <f ca="1">((PI()*BR11*BS11/4)*(BP11^2-BQ11^2))*BT11</f>
        <v>1.0002045610866503</v>
      </c>
      <c r="BV11" s="254">
        <f ca="1">(((BU11/386.4)*(BP11^2+BQ11^2))/8)</f>
        <v>2.9120862609277481E-3</v>
      </c>
      <c r="BW11" s="255" t="e">
        <f ca="1">Ratio</f>
        <v>#N/A</v>
      </c>
      <c r="BX11" s="256" t="e">
        <f ca="1">(BV11/(BW11^2))</f>
        <v>#N/A</v>
      </c>
      <c r="BZ11" s="250" t="s">
        <v>583</v>
      </c>
      <c r="CA11" s="251">
        <v>4</v>
      </c>
      <c r="CB11" s="251">
        <v>0</v>
      </c>
      <c r="CC11" s="251">
        <f ca="1">IF( ROLLWIDTH="Y",VALUE(Width) + 0.5,VALUE(Width)*0.5)</f>
        <v>0.5</v>
      </c>
      <c r="CD11" s="251">
        <v>0.28299999999999997</v>
      </c>
      <c r="CE11" s="257">
        <v>1</v>
      </c>
      <c r="CF11" s="253">
        <f ca="1">((PI()*CC11*CD11/4)*(CA11^2-CB11^2))*CE11</f>
        <v>1.7781414419318227</v>
      </c>
      <c r="CG11" s="254">
        <f ca="1">(((CF11/386.4)*(CA11^2+CB11^2))/8)</f>
        <v>9.2036306518210285E-3</v>
      </c>
      <c r="CH11" s="255" t="e">
        <f ca="1">Ratio</f>
        <v>#N/A</v>
      </c>
      <c r="CI11" s="256" t="e">
        <f ca="1">(CG11/(CH11^2))</f>
        <v>#N/A</v>
      </c>
      <c r="CK11" s="250" t="s">
        <v>583</v>
      </c>
      <c r="CL11" s="251">
        <v>4</v>
      </c>
      <c r="CM11" s="251">
        <v>0</v>
      </c>
      <c r="CN11" s="251">
        <f ca="1">IF( ROLLWIDTH="Y",VALUE(Width) + 1,VALUE(Width)*0.5)</f>
        <v>1</v>
      </c>
      <c r="CO11" s="251">
        <v>0.28299999999999997</v>
      </c>
      <c r="CP11" s="257">
        <v>1</v>
      </c>
      <c r="CQ11" s="253">
        <f ca="1">((PI()*CN11*CO11/4)*(CL11^2-CM11^2))*CP11</f>
        <v>3.5562828838636453</v>
      </c>
      <c r="CR11" s="254">
        <f ca="1">(((CQ11/386.4)*(CL11^2+CM11^2))/8)</f>
        <v>1.8407261303642057E-2</v>
      </c>
      <c r="CS11" s="255" t="e">
        <f ca="1">Ratio</f>
        <v>#N/A</v>
      </c>
      <c r="CT11" s="256" t="e">
        <f ca="1">(CR11/(CS11^2))</f>
        <v>#N/A</v>
      </c>
      <c r="CV11" s="250" t="s">
        <v>581</v>
      </c>
      <c r="CW11" s="251">
        <v>3.25</v>
      </c>
      <c r="CX11" s="251">
        <v>0</v>
      </c>
      <c r="CY11" s="339">
        <f ca="1">IF(ROLLWIDTH="Y",4.24,VALUE(Width)*0.5+4.74)</f>
        <v>4.24</v>
      </c>
      <c r="CZ11" s="251">
        <v>0.28299999999999997</v>
      </c>
      <c r="DA11" s="257">
        <v>1</v>
      </c>
      <c r="DB11" s="253">
        <f ca="1">((PI()*CY11*CZ11/4)*(CW11^2-CX11^2))*DA11</f>
        <v>9.9542580596145864</v>
      </c>
      <c r="DC11" s="254">
        <f ca="1">(((DB11/386.4)*(CW11^2+CX11^2))/8)</f>
        <v>3.4013279876643078E-2</v>
      </c>
      <c r="DD11" s="255" t="e">
        <f ca="1">Ratio</f>
        <v>#N/A</v>
      </c>
      <c r="DE11" s="256" t="e">
        <f ca="1">(DC11/(DD11^2))</f>
        <v>#N/A</v>
      </c>
      <c r="DG11" s="250" t="s">
        <v>581</v>
      </c>
      <c r="DH11" s="339">
        <v>3.25</v>
      </c>
      <c r="DI11" s="339">
        <v>0</v>
      </c>
      <c r="DJ11" s="339">
        <f ca="1">IF(ROLLWIDTH="Y",4.24,VALUE(Width)*0.5+4.74)</f>
        <v>4.24</v>
      </c>
      <c r="DK11" s="254">
        <v>0.28299999999999997</v>
      </c>
      <c r="DL11" s="257">
        <v>1</v>
      </c>
      <c r="DM11" s="340">
        <f ca="1">((PI()*DJ11*DK11/4)*(DH11^2-DI11^2))*DL11</f>
        <v>9.9542580596145864</v>
      </c>
      <c r="DN11" s="254">
        <f ca="1">(((DM11/386.4)*(DH11^2+DI11^2))/8)</f>
        <v>3.4013279876643078E-2</v>
      </c>
      <c r="DO11" s="255" t="e">
        <f ca="1">Ratio</f>
        <v>#N/A</v>
      </c>
      <c r="DP11" s="256" t="e">
        <f ca="1">(DN11/(DO11^2))</f>
        <v>#N/A</v>
      </c>
      <c r="DR11" s="250"/>
      <c r="DS11" s="255">
        <v>4</v>
      </c>
      <c r="DT11" s="339">
        <v>0</v>
      </c>
      <c r="DU11" s="342">
        <f ca="1">IF(ROLLWIDTH="Y",4.92,(VALUE(Width)+5.92)-(VALUE(Width)*0.5))</f>
        <v>4.92</v>
      </c>
      <c r="DV11" s="251">
        <v>0.28299999999999997</v>
      </c>
      <c r="DW11" s="252">
        <v>1</v>
      </c>
      <c r="DX11" s="340">
        <f ca="1">((PI()*DU11*DV11/4)*(DS11^2-DT11^2))*DW11</f>
        <v>17.496911788609136</v>
      </c>
      <c r="DY11" s="254">
        <f ca="1">(((DX11/386.4)*(DS11^2+DT11^2))/8)</f>
        <v>9.0563725613918927E-2</v>
      </c>
      <c r="DZ11" s="341" t="e">
        <f ca="1">Ratio</f>
        <v>#N/A</v>
      </c>
      <c r="EA11" s="256" t="e">
        <f ca="1">(DY11/(DZ11^2))</f>
        <v>#N/A</v>
      </c>
      <c r="EC11" s="250" t="s">
        <v>582</v>
      </c>
      <c r="ED11" s="255">
        <v>6</v>
      </c>
      <c r="EE11" s="339">
        <v>0</v>
      </c>
      <c r="EF11" s="342">
        <f ca="1">IF(ROLLWIDTH="Y",VALUE(Width)+1,VALUE(Width)*0.5)</f>
        <v>1</v>
      </c>
      <c r="EG11" s="251">
        <v>0.28299999999999997</v>
      </c>
      <c r="EH11" s="252">
        <v>1</v>
      </c>
      <c r="EI11" s="340">
        <f ca="1">((PI()*EF11*EG11/4)*(ED11^2-EE11^2))*EH11</f>
        <v>8.0016364886932028</v>
      </c>
      <c r="EJ11" s="254">
        <f ca="1">(((EI11/386.4)*(ED11^2+EE11^2))/8)</f>
        <v>9.3186760349687939E-2</v>
      </c>
      <c r="EK11" s="341" t="e">
        <f ca="1">Ratio</f>
        <v>#N/A</v>
      </c>
      <c r="EL11" s="256" t="e">
        <f ca="1">(EJ11/(EK11^2))</f>
        <v>#N/A</v>
      </c>
      <c r="EN11" s="250" t="s">
        <v>582</v>
      </c>
      <c r="EO11" s="255">
        <v>6</v>
      </c>
      <c r="EP11" s="339">
        <v>0</v>
      </c>
      <c r="EQ11" s="342">
        <f ca="1">IF(ROLLWIDTH="Y",VALUE(Width)+1,VALUE(Width)*0.5)</f>
        <v>1</v>
      </c>
      <c r="ER11" s="251">
        <v>0.28299999999999997</v>
      </c>
      <c r="ES11" s="252">
        <v>1</v>
      </c>
      <c r="ET11" s="340">
        <f ca="1">((PI()*EQ11*ER11/4)*(EO11^2-EP11^2))*ES11</f>
        <v>8.0016364886932028</v>
      </c>
      <c r="EU11" s="254">
        <f ca="1">(((ET11/386.4)*(EO11^2+EP11^2))/8)</f>
        <v>9.3186760349687939E-2</v>
      </c>
      <c r="EV11" s="341" t="e">
        <f ca="1">Ratio</f>
        <v>#N/A</v>
      </c>
      <c r="EW11" s="256" t="e">
        <f ca="1">(EU11/(EV11^2))</f>
        <v>#N/A</v>
      </c>
      <c r="EY11" s="250" t="s">
        <v>582</v>
      </c>
      <c r="EZ11" s="339">
        <v>7</v>
      </c>
      <c r="FA11" s="339">
        <v>0</v>
      </c>
      <c r="FB11" s="342">
        <f ca="1">IF(ROLLWIDTH="Y",VALUE(Width)+1,VALUE(Width)*0.5)</f>
        <v>1</v>
      </c>
      <c r="FC11" s="251">
        <v>0.28299999999999997</v>
      </c>
      <c r="FD11" s="252">
        <v>1</v>
      </c>
      <c r="FE11" s="340">
        <f t="shared" ref="FE11:FE17" ca="1" si="0">((PI()*FB11*FC11/4)*(EZ11^2-FA11^2))*FD11</f>
        <v>10.891116331832414</v>
      </c>
      <c r="FF11" s="254">
        <f t="shared" ref="FF11:FF17" ca="1" si="1">(((FE11/386.4)*(EZ11^2+FA11^2))/8)</f>
        <v>0.17263997808611165</v>
      </c>
      <c r="FG11" s="341" t="e">
        <f ca="1">Ratio</f>
        <v>#N/A</v>
      </c>
      <c r="FH11" s="256" t="e">
        <f t="shared" ref="FH11:FH17" ca="1" si="2">(FF11/(FG11^2))</f>
        <v>#N/A</v>
      </c>
      <c r="FJ11" s="250" t="s">
        <v>582</v>
      </c>
      <c r="FK11" s="339">
        <v>7</v>
      </c>
      <c r="FL11" s="339">
        <v>0</v>
      </c>
      <c r="FM11" s="342">
        <f ca="1">IF(ROLLWIDTH="Y",VALUE(Width)+1,VALUE(Width)*0.5)</f>
        <v>1</v>
      </c>
      <c r="FN11" s="251">
        <v>0.28299999999999997</v>
      </c>
      <c r="FO11" s="252">
        <v>1</v>
      </c>
      <c r="FP11" s="340">
        <f t="shared" ref="FP11:FP17" ca="1" si="3">((PI()*FM11*FN11/4)*(FK11^2-FL11^2))*FO11</f>
        <v>10.891116331832414</v>
      </c>
      <c r="FQ11" s="254">
        <f t="shared" ref="FQ11:FQ17" ca="1" si="4">(((FP11/386.4)*(FK11^2+FL11^2))/8)</f>
        <v>0.17263997808611165</v>
      </c>
      <c r="FR11" s="341" t="e">
        <f ca="1">Ratio</f>
        <v>#N/A</v>
      </c>
      <c r="FS11" s="256" t="e">
        <f t="shared" ref="FS11:FS17" ca="1" si="5">(FQ11/(FR11^2))</f>
        <v>#N/A</v>
      </c>
      <c r="FU11" s="250" t="s">
        <v>582</v>
      </c>
      <c r="FV11" s="378">
        <v>8</v>
      </c>
      <c r="FW11" s="378">
        <v>0</v>
      </c>
      <c r="FX11" s="379">
        <f ca="1">IF(ROLLWIDTH="Y",VALUE(Width)+1,VALUE(Width)*0.5)</f>
        <v>1</v>
      </c>
      <c r="FY11" s="251">
        <v>0.28299999999999997</v>
      </c>
      <c r="FZ11" s="252">
        <v>1</v>
      </c>
      <c r="GA11" s="340">
        <f t="shared" ref="GA11:GA16" ca="1" si="6">((PI()*FX11*FY11/4)*(FV11^2-FW11^2))*FZ11</f>
        <v>14.225131535454581</v>
      </c>
      <c r="GB11" s="254">
        <f t="shared" ref="GB11:GB16" ca="1" si="7">(((GA11/386.4)*(FV11^2+FW11^2))/8)</f>
        <v>0.29451618085827291</v>
      </c>
      <c r="GC11" s="341" t="e">
        <f t="shared" ref="GC11:GC16" ca="1" si="8">Ratio</f>
        <v>#N/A</v>
      </c>
      <c r="GD11" s="256" t="e">
        <f t="shared" ref="GD11:GD16" ca="1" si="9">(GB11/(GC11^2))</f>
        <v>#N/A</v>
      </c>
    </row>
    <row r="12" spans="1:186" ht="15.75" x14ac:dyDescent="0.25">
      <c r="A12" s="250"/>
      <c r="B12" s="251"/>
      <c r="C12" s="251"/>
      <c r="D12" s="251"/>
      <c r="E12" s="251"/>
      <c r="F12" s="245"/>
      <c r="G12" s="253"/>
      <c r="H12" s="254"/>
      <c r="I12" s="245"/>
      <c r="J12" s="256"/>
      <c r="L12" s="250"/>
      <c r="M12" s="251"/>
      <c r="N12" s="251"/>
      <c r="O12" s="251"/>
      <c r="P12" s="251"/>
      <c r="Q12" s="245"/>
      <c r="R12" s="253"/>
      <c r="S12" s="254"/>
      <c r="T12" s="245"/>
      <c r="U12" s="256"/>
      <c r="W12" s="250"/>
      <c r="X12" s="251"/>
      <c r="Y12" s="251"/>
      <c r="Z12" s="251"/>
      <c r="AA12" s="251"/>
      <c r="AB12" s="245"/>
      <c r="AC12" s="253"/>
      <c r="AD12" s="254"/>
      <c r="AE12" s="245"/>
      <c r="AF12" s="256"/>
      <c r="AH12" s="250"/>
      <c r="AI12" s="251"/>
      <c r="AJ12" s="251"/>
      <c r="AK12" s="251"/>
      <c r="AL12" s="251"/>
      <c r="AM12" s="245"/>
      <c r="AN12" s="253"/>
      <c r="AO12" s="254"/>
      <c r="AP12" s="245"/>
      <c r="AQ12" s="245"/>
      <c r="AS12" s="250" t="s">
        <v>581</v>
      </c>
      <c r="AT12" s="251">
        <v>2.25</v>
      </c>
      <c r="AU12" s="251">
        <v>0</v>
      </c>
      <c r="AV12" s="251">
        <f ca="1">IF(ROLLWIDTH="Y",6.14,VALUE(Width)*0.5)</f>
        <v>6.14</v>
      </c>
      <c r="AW12" s="251">
        <v>0.28299999999999997</v>
      </c>
      <c r="AX12" s="257">
        <v>1</v>
      </c>
      <c r="AY12" s="253">
        <f ca="1">((PI()*AV12*AW12/4)*(AT12^2-AU12^2))*AX12</f>
        <v>6.9089130057060366</v>
      </c>
      <c r="AZ12" s="254">
        <f ca="1">(((AY12/386.4)*(AT12^2+AU12^2))/8)</f>
        <v>1.131482016413911E-2</v>
      </c>
      <c r="BA12" s="251" t="e">
        <f ca="1">Ratio</f>
        <v>#N/A</v>
      </c>
      <c r="BB12" s="256" t="e">
        <f ca="1">(AZ12/(BA12^2))</f>
        <v>#N/A</v>
      </c>
      <c r="BD12" s="250" t="s">
        <v>581</v>
      </c>
      <c r="BE12" s="251">
        <v>2.25</v>
      </c>
      <c r="BF12" s="251">
        <v>0</v>
      </c>
      <c r="BG12" s="251">
        <f ca="1">IF(ROLLWIDTH="Y",6.14,VALUE(Width)*0.5)</f>
        <v>6.14</v>
      </c>
      <c r="BH12" s="251">
        <v>0.28299999999999997</v>
      </c>
      <c r="BI12" s="257">
        <v>1</v>
      </c>
      <c r="BJ12" s="253">
        <f ca="1">((PI()*BG12*BH12/4)*(BE12^2-BF12^2))*BI12</f>
        <v>6.9089130057060366</v>
      </c>
      <c r="BK12" s="254">
        <f ca="1">(((BJ12/386.4)*(BE12^2+BF12^2))/8)</f>
        <v>1.131482016413911E-2</v>
      </c>
      <c r="BL12" s="251" t="e">
        <f ca="1">Ratio</f>
        <v>#N/A</v>
      </c>
      <c r="BM12" s="256" t="e">
        <f ca="1">(BK12/(BL12^2))</f>
        <v>#N/A</v>
      </c>
      <c r="BO12" s="250" t="s">
        <v>581</v>
      </c>
      <c r="BP12" s="251">
        <v>2.25</v>
      </c>
      <c r="BQ12" s="251">
        <v>0</v>
      </c>
      <c r="BR12" s="251">
        <f ca="1">IF(ROLLWIDTH="Y",6.14,VALUE(Width)*0.5)</f>
        <v>6.14</v>
      </c>
      <c r="BS12" s="251">
        <v>0.28299999999999997</v>
      </c>
      <c r="BT12" s="257">
        <v>1</v>
      </c>
      <c r="BU12" s="253">
        <f ca="1">((PI()*BR12*BS12/4)*(BP12^2-BQ12^2))*BT12</f>
        <v>6.9089130057060366</v>
      </c>
      <c r="BV12" s="254">
        <f ca="1">(((BU12/386.4)*(BP12^2+BQ12^2))/8)</f>
        <v>1.131482016413911E-2</v>
      </c>
      <c r="BW12" s="255" t="e">
        <f ca="1">Ratio</f>
        <v>#N/A</v>
      </c>
      <c r="BX12" s="256" t="e">
        <f ca="1">(BV12/(BW12^2))</f>
        <v>#N/A</v>
      </c>
      <c r="BZ12" s="250" t="s">
        <v>581</v>
      </c>
      <c r="CA12" s="251">
        <v>3.25</v>
      </c>
      <c r="CB12" s="251">
        <v>0</v>
      </c>
      <c r="CC12" s="251">
        <f ca="1">IF(ROLLWIDTH="Y",4.24,VALUE(Width)*0.5+4.74)</f>
        <v>4.24</v>
      </c>
      <c r="CD12" s="251">
        <v>0.28299999999999997</v>
      </c>
      <c r="CE12" s="257">
        <v>1</v>
      </c>
      <c r="CF12" s="253">
        <f ca="1">((PI()*CC12*CD12/4)*(CA12^2-CB12^2))*CE12</f>
        <v>9.9542580596145864</v>
      </c>
      <c r="CG12" s="254">
        <f ca="1">(((CF12/386.4)*(CA12^2+CB12^2))/8)</f>
        <v>3.4013279876643078E-2</v>
      </c>
      <c r="CH12" s="255" t="e">
        <f ca="1">Ratio</f>
        <v>#N/A</v>
      </c>
      <c r="CI12" s="256" t="e">
        <f ca="1">(CG12/(CH12^2))</f>
        <v>#N/A</v>
      </c>
      <c r="CK12" s="250" t="s">
        <v>581</v>
      </c>
      <c r="CL12" s="251">
        <v>3.25</v>
      </c>
      <c r="CM12" s="251">
        <v>0</v>
      </c>
      <c r="CN12" s="251">
        <f ca="1">IF(ROLLWIDTH="Y",4.24,VALUE(Width)*0.5+4.74)</f>
        <v>4.24</v>
      </c>
      <c r="CO12" s="251">
        <v>0.28299999999999997</v>
      </c>
      <c r="CP12" s="257">
        <v>1</v>
      </c>
      <c r="CQ12" s="253">
        <f ca="1">((PI()*CN12*CO12/4)*(CL12^2-CM12^2))*CP12</f>
        <v>9.9542580596145864</v>
      </c>
      <c r="CR12" s="254">
        <f ca="1">(((CQ12/386.4)*(CL12^2+CM12^2))/8)</f>
        <v>3.4013279876643078E-2</v>
      </c>
      <c r="CS12" s="255" t="e">
        <f ca="1">Ratio</f>
        <v>#N/A</v>
      </c>
      <c r="CT12" s="256" t="e">
        <f ca="1">(CR12/(CS12^2))</f>
        <v>#N/A</v>
      </c>
      <c r="CV12" s="250" t="s">
        <v>580</v>
      </c>
      <c r="CW12" s="251">
        <v>2.7549999999999999</v>
      </c>
      <c r="CX12" s="251">
        <v>0</v>
      </c>
      <c r="CY12" s="339">
        <v>7.76</v>
      </c>
      <c r="CZ12" s="251">
        <v>0.28299999999999997</v>
      </c>
      <c r="DA12" s="257">
        <v>1</v>
      </c>
      <c r="DB12" s="253">
        <f>((PI()*CY12*CZ12/4)*(CW12^2-CX12^2))*DA12</f>
        <v>13.091253857864626</v>
      </c>
      <c r="DC12" s="254">
        <f>(((DB12/386.4)*(CW12^2+CX12^2))/8)</f>
        <v>3.2143809544040808E-2</v>
      </c>
      <c r="DD12" s="255" t="e">
        <f ca="1">Ratio</f>
        <v>#N/A</v>
      </c>
      <c r="DE12" s="256" t="e">
        <f ca="1">(DC12/(DD12^2))</f>
        <v>#N/A</v>
      </c>
      <c r="DG12" s="250" t="s">
        <v>580</v>
      </c>
      <c r="DH12" s="339">
        <v>2.7549999999999999</v>
      </c>
      <c r="DI12" s="339">
        <v>0</v>
      </c>
      <c r="DJ12" s="339">
        <v>7.76</v>
      </c>
      <c r="DK12" s="254">
        <v>0.28299999999999997</v>
      </c>
      <c r="DL12" s="257">
        <v>1</v>
      </c>
      <c r="DM12" s="340">
        <f>((PI()*DJ12*DK12/4)*(DH12^2-DI12^2))*DL12</f>
        <v>13.091253857864626</v>
      </c>
      <c r="DN12" s="254">
        <f>(((DM12/386.4)*(DH12^2+DI12^2))/8)</f>
        <v>3.2143809544040808E-2</v>
      </c>
      <c r="DO12" s="255" t="e">
        <f ca="1">Ratio</f>
        <v>#N/A</v>
      </c>
      <c r="DP12" s="256" t="e">
        <f ca="1">(DN12/(DO12^2))</f>
        <v>#N/A</v>
      </c>
      <c r="DR12" s="250" t="s">
        <v>580</v>
      </c>
      <c r="DS12" s="255">
        <v>2.4359999999999999</v>
      </c>
      <c r="DT12" s="339">
        <v>0</v>
      </c>
      <c r="DU12" s="342">
        <v>5.44</v>
      </c>
      <c r="DV12" s="251">
        <v>0.28299999999999997</v>
      </c>
      <c r="DW12" s="252">
        <v>1</v>
      </c>
      <c r="DX12" s="340">
        <f>((PI()*DU12*DV12/4)*(DS12^2-DT12^2))*DW12</f>
        <v>7.1751301722412659</v>
      </c>
      <c r="DY12" s="254">
        <f>(((DX12/386.4)*(DS12^2+DT12^2))/8)</f>
        <v>1.3773910214342716E-2</v>
      </c>
      <c r="DZ12" s="341" t="e">
        <f ca="1">Ratio</f>
        <v>#N/A</v>
      </c>
      <c r="EA12" s="256" t="e">
        <f ca="1">(DY12/(DZ12^2))</f>
        <v>#N/A</v>
      </c>
      <c r="EC12" s="250"/>
      <c r="ED12" s="255">
        <v>4.5</v>
      </c>
      <c r="EE12" s="339">
        <v>0</v>
      </c>
      <c r="EF12" s="342">
        <f ca="1">IF(ROLLWIDTH="Y",4.92,(VALUE(Width)+5.92)-(VALUE(Width)*0.5))</f>
        <v>4.92</v>
      </c>
      <c r="EG12" s="251">
        <v>0.28299999999999997</v>
      </c>
      <c r="EH12" s="252">
        <v>1</v>
      </c>
      <c r="EI12" s="340">
        <f ca="1">((PI()*EF12*EG12/4)*(ED12^2-EE12^2))*EH12</f>
        <v>22.144528982458439</v>
      </c>
      <c r="EJ12" s="254">
        <f ca="1">(((EI12/386.4)*(ED12^2+EE12^2))/8)</f>
        <v>0.14506557708811574</v>
      </c>
      <c r="EK12" s="341" t="e">
        <f ca="1">Ratio</f>
        <v>#N/A</v>
      </c>
      <c r="EL12" s="256" t="e">
        <f ca="1">(EJ12/(EK12^2))</f>
        <v>#N/A</v>
      </c>
      <c r="EN12" s="250"/>
      <c r="EO12" s="255">
        <v>4.5</v>
      </c>
      <c r="EP12" s="339">
        <v>0</v>
      </c>
      <c r="EQ12" s="342">
        <f ca="1">IF(ROLLWIDTH="Y",4.92,(VALUE(Width)+5.92)-(VALUE(Width)*0.5))</f>
        <v>4.92</v>
      </c>
      <c r="ER12" s="251">
        <v>0.28299999999999997</v>
      </c>
      <c r="ES12" s="252">
        <v>1</v>
      </c>
      <c r="ET12" s="340">
        <f ca="1">((PI()*EQ12*ER12/4)*(EO12^2-EP12^2))*ES12</f>
        <v>22.144528982458439</v>
      </c>
      <c r="EU12" s="254">
        <f ca="1">(((ET12/386.4)*(EO12^2+EP12^2))/8)</f>
        <v>0.14506557708811574</v>
      </c>
      <c r="EV12" s="341" t="e">
        <f ca="1">Ratio</f>
        <v>#N/A</v>
      </c>
      <c r="EW12" s="256" t="e">
        <f ca="1">(EU12/(EV12^2))</f>
        <v>#N/A</v>
      </c>
      <c r="EY12" s="250"/>
      <c r="EZ12" s="339">
        <v>6</v>
      </c>
      <c r="FA12" s="339">
        <v>0</v>
      </c>
      <c r="FB12" s="342">
        <f ca="1">IF(ROLLWIDTH="Y",4.92,(VALUE(Width)+5.92)-(VALUE(Width)*0.5))</f>
        <v>4.92</v>
      </c>
      <c r="FC12" s="251">
        <v>0.28299999999999997</v>
      </c>
      <c r="FD12" s="252">
        <v>1</v>
      </c>
      <c r="FE12" s="340">
        <f t="shared" ca="1" si="0"/>
        <v>39.368051524370557</v>
      </c>
      <c r="FF12" s="254">
        <f t="shared" ca="1" si="1"/>
        <v>0.45847886092046464</v>
      </c>
      <c r="FG12" s="341" t="e">
        <f ca="1">Ratio</f>
        <v>#N/A</v>
      </c>
      <c r="FH12" s="256" t="e">
        <f t="shared" ca="1" si="2"/>
        <v>#N/A</v>
      </c>
      <c r="FJ12" s="250"/>
      <c r="FK12" s="339">
        <v>6</v>
      </c>
      <c r="FL12" s="339">
        <v>0</v>
      </c>
      <c r="FM12" s="342">
        <f ca="1">IF(ROLLWIDTH="Y",4.92,(VALUE(Width)+5.92)-(VALUE(Width)*0.5))</f>
        <v>4.92</v>
      </c>
      <c r="FN12" s="251">
        <v>0.28299999999999997</v>
      </c>
      <c r="FO12" s="252">
        <v>1</v>
      </c>
      <c r="FP12" s="340">
        <f t="shared" ca="1" si="3"/>
        <v>39.368051524370557</v>
      </c>
      <c r="FQ12" s="254">
        <f t="shared" ca="1" si="4"/>
        <v>0.45847886092046464</v>
      </c>
      <c r="FR12" s="341" t="e">
        <f ca="1">Ratio</f>
        <v>#N/A</v>
      </c>
      <c r="FS12" s="256" t="e">
        <f t="shared" ca="1" si="5"/>
        <v>#N/A</v>
      </c>
      <c r="FU12" s="250"/>
      <c r="FV12" s="378">
        <v>7</v>
      </c>
      <c r="FW12" s="378">
        <v>0</v>
      </c>
      <c r="FX12" s="379">
        <f ca="1">IF(ROLLWIDTH="Y",4.92,(VALUE(Width)+5.92)-(VALUE(Width)*0.5))</f>
        <v>4.92</v>
      </c>
      <c r="FY12" s="251">
        <v>0.28299999999999997</v>
      </c>
      <c r="FZ12" s="252">
        <v>1</v>
      </c>
      <c r="GA12" s="340">
        <f t="shared" ca="1" si="6"/>
        <v>53.584292352615478</v>
      </c>
      <c r="GB12" s="254">
        <f t="shared" ca="1" si="7"/>
        <v>0.8493886921836693</v>
      </c>
      <c r="GC12" s="341" t="e">
        <f t="shared" ca="1" si="8"/>
        <v>#N/A</v>
      </c>
      <c r="GD12" s="256" t="e">
        <f t="shared" ca="1" si="9"/>
        <v>#N/A</v>
      </c>
    </row>
    <row r="13" spans="1:186" ht="15.75" x14ac:dyDescent="0.25">
      <c r="A13" s="250" t="s">
        <v>584</v>
      </c>
      <c r="B13" s="251">
        <v>2</v>
      </c>
      <c r="C13" s="251">
        <v>1.25</v>
      </c>
      <c r="D13" s="251">
        <v>0.75</v>
      </c>
      <c r="E13" s="251">
        <v>0.28299999999999997</v>
      </c>
      <c r="F13" s="257">
        <v>2</v>
      </c>
      <c r="G13" s="253">
        <f>((PI()*D13*E13/4)*(B13^2-C13^2))*F13</f>
        <v>0.81266620588290339</v>
      </c>
      <c r="H13" s="254">
        <f>(((G13/386.4)*(B13^2+C13^2))/8)</f>
        <v>1.462362762106512E-3</v>
      </c>
      <c r="I13" s="255" t="e">
        <f ca="1">(B13/B14)*Ratio</f>
        <v>#N/A</v>
      </c>
      <c r="J13" s="256" t="e">
        <f ca="1">(H13/(I13^2))</f>
        <v>#N/A</v>
      </c>
      <c r="L13" s="250" t="s">
        <v>584</v>
      </c>
      <c r="M13" s="251">
        <v>2</v>
      </c>
      <c r="N13" s="251">
        <v>1.25</v>
      </c>
      <c r="O13" s="251">
        <v>0.75</v>
      </c>
      <c r="P13" s="251">
        <v>0.28299999999999997</v>
      </c>
      <c r="Q13" s="257">
        <v>2</v>
      </c>
      <c r="R13" s="253">
        <f>((PI()*P13*O13/4)*(M13^2-N13^2))*Q13</f>
        <v>0.81266620588290339</v>
      </c>
      <c r="S13" s="254">
        <f>(((R13/386.4)*(M13^2+N13^2))/8)</f>
        <v>1.462362762106512E-3</v>
      </c>
      <c r="T13" s="255" t="e">
        <f ca="1">(M13/M14)*Ratio</f>
        <v>#N/A</v>
      </c>
      <c r="U13" s="256" t="e">
        <f ca="1">(S13/(T13^2))</f>
        <v>#N/A</v>
      </c>
      <c r="W13" s="250" t="s">
        <v>584</v>
      </c>
      <c r="X13" s="251">
        <v>2</v>
      </c>
      <c r="Y13" s="251">
        <v>1.25</v>
      </c>
      <c r="Z13" s="251">
        <v>0.75</v>
      </c>
      <c r="AA13" s="251">
        <v>0.28299999999999997</v>
      </c>
      <c r="AB13" s="257">
        <v>2</v>
      </c>
      <c r="AC13" s="253">
        <f>((PI()*Z13*AA13/4)*(X13^2-Y13^2))*AB13</f>
        <v>0.81266620588290339</v>
      </c>
      <c r="AD13" s="254">
        <f>(((AC13/386.4)*(X13^2+Y13^2))/8)</f>
        <v>1.462362762106512E-3</v>
      </c>
      <c r="AE13" s="255" t="e">
        <f ca="1">(X13/X14)*Ratio</f>
        <v>#N/A</v>
      </c>
      <c r="AF13" s="256" t="e">
        <f ca="1">(AD13/(AE13^2))</f>
        <v>#N/A</v>
      </c>
      <c r="AH13" s="250" t="s">
        <v>584</v>
      </c>
      <c r="AI13" s="251">
        <v>2</v>
      </c>
      <c r="AJ13" s="251">
        <v>1.25</v>
      </c>
      <c r="AK13" s="251">
        <v>0.75</v>
      </c>
      <c r="AL13" s="251">
        <v>0.28299999999999997</v>
      </c>
      <c r="AM13" s="257">
        <v>2</v>
      </c>
      <c r="AN13" s="253">
        <f>((PI()*AK13*AL13/4)*(AI13^2-AJ13^2))*AM13</f>
        <v>0.81266620588290339</v>
      </c>
      <c r="AO13" s="254">
        <f>(((AN13/386.4)*(AI13^2+AJ13^2))/8)</f>
        <v>1.462362762106512E-3</v>
      </c>
      <c r="AP13" s="255" t="e">
        <f ca="1">(AI13/AI14)*Ratio</f>
        <v>#N/A</v>
      </c>
      <c r="AQ13" s="256" t="e">
        <f ca="1">(AO13/(AP13^2))</f>
        <v>#N/A</v>
      </c>
      <c r="AS13" s="250" t="s">
        <v>580</v>
      </c>
      <c r="AT13" s="251">
        <v>1.5745</v>
      </c>
      <c r="AU13" s="251">
        <v>0</v>
      </c>
      <c r="AV13" s="251">
        <v>7.76</v>
      </c>
      <c r="AW13" s="251">
        <v>0.28299999999999997</v>
      </c>
      <c r="AX13" s="257">
        <v>1</v>
      </c>
      <c r="AY13" s="253">
        <f>((PI()*AV13*AW13/4)*(AT13^2-AU13^2))*AX13</f>
        <v>4.275858926571753</v>
      </c>
      <c r="AZ13" s="254">
        <f>(((AY13/386.4)*(AT13^2+AU13^2))/8)</f>
        <v>3.429111393919008E-3</v>
      </c>
      <c r="BA13" s="251" t="e">
        <f ca="1">Ratio</f>
        <v>#N/A</v>
      </c>
      <c r="BB13" s="256" t="e">
        <f ca="1">(AZ13/(BA13^2))</f>
        <v>#N/A</v>
      </c>
      <c r="BD13" s="250" t="s">
        <v>580</v>
      </c>
      <c r="BE13" s="251">
        <v>1.5745</v>
      </c>
      <c r="BF13" s="251">
        <v>0</v>
      </c>
      <c r="BG13" s="251">
        <v>7.76</v>
      </c>
      <c r="BH13" s="251">
        <v>0.28299999999999997</v>
      </c>
      <c r="BI13" s="257">
        <v>1</v>
      </c>
      <c r="BJ13" s="253">
        <f>((PI()*BG13*BH13/4)*(BE13^2-BF13^2))*BI13</f>
        <v>4.275858926571753</v>
      </c>
      <c r="BK13" s="254">
        <f>(((BJ13/386.4)*(BE13^2+BF13^2))/8)</f>
        <v>3.429111393919008E-3</v>
      </c>
      <c r="BL13" s="251" t="e">
        <f ca="1">Ratio</f>
        <v>#N/A</v>
      </c>
      <c r="BM13" s="256" t="e">
        <f ca="1">(BK13/(BL13^2))</f>
        <v>#N/A</v>
      </c>
      <c r="BO13" s="250" t="s">
        <v>580</v>
      </c>
      <c r="BP13" s="251">
        <v>1.5745</v>
      </c>
      <c r="BQ13" s="251">
        <v>0</v>
      </c>
      <c r="BR13" s="251">
        <v>7.76</v>
      </c>
      <c r="BS13" s="251">
        <v>0.28299999999999997</v>
      </c>
      <c r="BT13" s="257">
        <v>1</v>
      </c>
      <c r="BU13" s="253">
        <f>((PI()*BR13*BS13/4)*(BP13^2-BQ13^2))*BT13</f>
        <v>4.275858926571753</v>
      </c>
      <c r="BV13" s="254">
        <f>(((BU13/386.4)*(BP13^2+BQ13^2))/8)</f>
        <v>3.429111393919008E-3</v>
      </c>
      <c r="BW13" s="255" t="e">
        <f ca="1">Ratio</f>
        <v>#N/A</v>
      </c>
      <c r="BX13" s="256" t="e">
        <f ca="1">(BV13/(BW13^2))</f>
        <v>#N/A</v>
      </c>
      <c r="BZ13" s="250" t="s">
        <v>580</v>
      </c>
      <c r="CA13" s="251">
        <v>2.7549999999999999</v>
      </c>
      <c r="CB13" s="251">
        <v>0</v>
      </c>
      <c r="CC13" s="251">
        <v>7.76</v>
      </c>
      <c r="CD13" s="251">
        <v>0.28299999999999997</v>
      </c>
      <c r="CE13" s="257">
        <v>1</v>
      </c>
      <c r="CF13" s="253">
        <f>((PI()*CC13*CD13/4)*(CA13^2-CB13^2))*CE13</f>
        <v>13.091253857864626</v>
      </c>
      <c r="CG13" s="254">
        <f>(((CF13/386.4)*(CA13^2+CB13^2))/8)</f>
        <v>3.2143809544040808E-2</v>
      </c>
      <c r="CH13" s="255" t="e">
        <f ca="1">Ratio</f>
        <v>#N/A</v>
      </c>
      <c r="CI13" s="256" t="e">
        <f ca="1">(CG13/(CH13^2))</f>
        <v>#N/A</v>
      </c>
      <c r="CK13" s="250" t="s">
        <v>580</v>
      </c>
      <c r="CL13" s="251">
        <v>2.7549999999999999</v>
      </c>
      <c r="CM13" s="251">
        <v>0</v>
      </c>
      <c r="CN13" s="251">
        <v>7.76</v>
      </c>
      <c r="CO13" s="251">
        <v>0.28299999999999997</v>
      </c>
      <c r="CP13" s="257">
        <v>1</v>
      </c>
      <c r="CQ13" s="253">
        <f>((PI()*CN13*CO13/4)*(CL13^2-CM13^2))*CP13</f>
        <v>13.091253857864626</v>
      </c>
      <c r="CR13" s="254">
        <f>(((CQ13/386.4)*(CL13^2+CM13^2))/8)</f>
        <v>3.2143809544040808E-2</v>
      </c>
      <c r="CS13" s="255" t="e">
        <f ca="1">Ratio</f>
        <v>#N/A</v>
      </c>
      <c r="CT13" s="256" t="e">
        <f ca="1">(CR13/(CS13^2))</f>
        <v>#N/A</v>
      </c>
      <c r="CV13" s="250"/>
      <c r="CW13" s="251"/>
      <c r="CX13" s="251"/>
      <c r="CY13" s="339"/>
      <c r="CZ13" s="251"/>
      <c r="DA13" s="257"/>
      <c r="DB13" s="253"/>
      <c r="DC13" s="254"/>
      <c r="DD13" s="255"/>
      <c r="DE13" s="256"/>
      <c r="DG13" s="250"/>
      <c r="DH13" s="339"/>
      <c r="DI13" s="339"/>
      <c r="DJ13" s="339"/>
      <c r="DK13" s="254"/>
      <c r="DL13" s="257"/>
      <c r="DM13" s="340"/>
      <c r="DN13" s="254"/>
      <c r="DO13" s="255"/>
      <c r="DP13" s="256"/>
      <c r="DR13" s="250"/>
      <c r="DS13" s="341"/>
      <c r="DT13" s="341"/>
      <c r="DU13" s="258"/>
      <c r="DV13" s="251"/>
      <c r="DW13" s="252"/>
      <c r="DX13" s="340"/>
      <c r="DY13" s="254"/>
      <c r="DZ13" s="341"/>
      <c r="EA13" s="256"/>
      <c r="EC13" s="250" t="s">
        <v>580</v>
      </c>
      <c r="ED13" s="255">
        <v>2.75</v>
      </c>
      <c r="EE13" s="339">
        <v>0</v>
      </c>
      <c r="EF13" s="339">
        <v>5.44</v>
      </c>
      <c r="EG13" s="251">
        <v>0.28299999999999997</v>
      </c>
      <c r="EH13" s="252">
        <v>1</v>
      </c>
      <c r="EI13" s="340">
        <f>((PI()*EF13*EG13/4)*(ED13^2-EE13^2))*EH13</f>
        <v>9.1440923651343997</v>
      </c>
      <c r="EJ13" s="254">
        <f>(((EI13/386.4)*(ED13^2+EE13^2))/8)</f>
        <v>2.2370664632288078E-2</v>
      </c>
      <c r="EK13" s="341" t="e">
        <f ca="1">Ratio</f>
        <v>#N/A</v>
      </c>
      <c r="EL13" s="256" t="e">
        <f ca="1">(EJ13/(EK13^2))</f>
        <v>#N/A</v>
      </c>
      <c r="EN13" s="250" t="s">
        <v>580</v>
      </c>
      <c r="EO13" s="255">
        <v>2.75</v>
      </c>
      <c r="EP13" s="339">
        <v>0</v>
      </c>
      <c r="EQ13" s="339">
        <v>5.44</v>
      </c>
      <c r="ER13" s="251">
        <v>0.28299999999999997</v>
      </c>
      <c r="ES13" s="252">
        <v>1</v>
      </c>
      <c r="ET13" s="340">
        <f>((PI()*EQ13*ER13/4)*(EO13^2-EP13^2))*ES13</f>
        <v>9.1440923651343997</v>
      </c>
      <c r="EU13" s="254">
        <f>(((ET13/386.4)*(EO13^2+EP13^2))/8)</f>
        <v>2.2370664632288078E-2</v>
      </c>
      <c r="EV13" s="341" t="e">
        <f ca="1">Ratio</f>
        <v>#N/A</v>
      </c>
      <c r="EW13" s="256" t="e">
        <f ca="1">(EU13/(EV13^2))</f>
        <v>#N/A</v>
      </c>
      <c r="EY13" s="250" t="s">
        <v>580</v>
      </c>
      <c r="EZ13" s="339">
        <v>2</v>
      </c>
      <c r="FA13" s="339">
        <v>0</v>
      </c>
      <c r="FB13" s="339">
        <v>3.52</v>
      </c>
      <c r="FC13" s="251">
        <v>0.28299999999999997</v>
      </c>
      <c r="FD13" s="252">
        <v>1</v>
      </c>
      <c r="FE13" s="340">
        <f t="shared" si="0"/>
        <v>3.129528937800008</v>
      </c>
      <c r="FF13" s="254">
        <f t="shared" si="1"/>
        <v>4.0495974868012524E-3</v>
      </c>
      <c r="FG13" s="341" t="e">
        <f ca="1">Ratio</f>
        <v>#N/A</v>
      </c>
      <c r="FH13" s="256" t="e">
        <f t="shared" ca="1" si="2"/>
        <v>#N/A</v>
      </c>
      <c r="FJ13" s="250" t="s">
        <v>580</v>
      </c>
      <c r="FK13" s="339">
        <v>2</v>
      </c>
      <c r="FL13" s="339">
        <v>0</v>
      </c>
      <c r="FM13" s="339">
        <v>3.52</v>
      </c>
      <c r="FN13" s="251">
        <v>0.28299999999999997</v>
      </c>
      <c r="FO13" s="252">
        <v>1</v>
      </c>
      <c r="FP13" s="340">
        <f t="shared" si="3"/>
        <v>3.129528937800008</v>
      </c>
      <c r="FQ13" s="254">
        <f t="shared" si="4"/>
        <v>4.0495974868012524E-3</v>
      </c>
      <c r="FR13" s="341" t="e">
        <f ca="1">Ratio</f>
        <v>#N/A</v>
      </c>
      <c r="FS13" s="256" t="e">
        <f t="shared" ca="1" si="5"/>
        <v>#N/A</v>
      </c>
      <c r="FU13" s="250" t="s">
        <v>580</v>
      </c>
      <c r="FV13" s="378">
        <v>2</v>
      </c>
      <c r="FW13" s="378">
        <v>0</v>
      </c>
      <c r="FX13" s="380">
        <v>3.52</v>
      </c>
      <c r="FY13" s="251">
        <v>0.28299999999999997</v>
      </c>
      <c r="FZ13" s="252">
        <v>1</v>
      </c>
      <c r="GA13" s="340">
        <f t="shared" si="6"/>
        <v>3.129528937800008</v>
      </c>
      <c r="GB13" s="254">
        <f t="shared" si="7"/>
        <v>4.0495974868012524E-3</v>
      </c>
      <c r="GC13" s="341" t="e">
        <f t="shared" ca="1" si="8"/>
        <v>#N/A</v>
      </c>
      <c r="GD13" s="256" t="e">
        <f t="shared" ca="1" si="9"/>
        <v>#N/A</v>
      </c>
    </row>
    <row r="14" spans="1:186" ht="15.75" x14ac:dyDescent="0.25">
      <c r="A14" s="250" t="s">
        <v>585</v>
      </c>
      <c r="B14" s="251">
        <v>2</v>
      </c>
      <c r="C14" s="251">
        <v>1</v>
      </c>
      <c r="D14" s="251">
        <v>0.75</v>
      </c>
      <c r="E14" s="251">
        <v>0.28299999999999997</v>
      </c>
      <c r="F14" s="257">
        <v>2</v>
      </c>
      <c r="G14" s="253">
        <f>((PI()*D14*E14/4)*(B14^2-C14^2))*F14</f>
        <v>1.0002045610866503</v>
      </c>
      <c r="H14" s="254">
        <f>(((G14/386.4)*(B14^2+C14^2))/8)</f>
        <v>1.6178257005154155E-3</v>
      </c>
      <c r="I14" s="255" t="e">
        <f ca="1">Ratio</f>
        <v>#N/A</v>
      </c>
      <c r="J14" s="256" t="e">
        <f ca="1">(H14/(I14^2))</f>
        <v>#N/A</v>
      </c>
      <c r="L14" s="250" t="s">
        <v>585</v>
      </c>
      <c r="M14" s="251">
        <v>2</v>
      </c>
      <c r="N14" s="251">
        <v>1</v>
      </c>
      <c r="O14" s="251">
        <v>0.75</v>
      </c>
      <c r="P14" s="251">
        <v>0.28299999999999997</v>
      </c>
      <c r="Q14" s="257">
        <v>2</v>
      </c>
      <c r="R14" s="253">
        <f>((PI()*P14*O14/4)*(M14^2-N14^2))*Q14</f>
        <v>1.0002045610866503</v>
      </c>
      <c r="S14" s="254">
        <f>(((R14/386.4)*(M14^2+N14^2))/8)</f>
        <v>1.6178257005154155E-3</v>
      </c>
      <c r="T14" s="255" t="e">
        <f ca="1">Ratio</f>
        <v>#N/A</v>
      </c>
      <c r="U14" s="256" t="e">
        <f ca="1">(S14/(T14^2))</f>
        <v>#N/A</v>
      </c>
      <c r="W14" s="250" t="s">
        <v>585</v>
      </c>
      <c r="X14" s="251">
        <v>2</v>
      </c>
      <c r="Y14" s="251">
        <v>1</v>
      </c>
      <c r="Z14" s="251">
        <v>0.75</v>
      </c>
      <c r="AA14" s="251">
        <v>0.28299999999999997</v>
      </c>
      <c r="AB14" s="257">
        <v>2</v>
      </c>
      <c r="AC14" s="253">
        <f>((PI()*Z14*AA14/4)*(X14^2-Y14^2))*AB14</f>
        <v>1.0002045610866503</v>
      </c>
      <c r="AD14" s="254">
        <f>(((AC14/386.4)*(X14^2+Y14^2))/8)</f>
        <v>1.6178257005154155E-3</v>
      </c>
      <c r="AE14" s="255" t="e">
        <f ca="1">Ratio</f>
        <v>#N/A</v>
      </c>
      <c r="AF14" s="256" t="e">
        <f ca="1">(AD14/(AE14^2))</f>
        <v>#N/A</v>
      </c>
      <c r="AH14" s="250" t="s">
        <v>585</v>
      </c>
      <c r="AI14" s="251">
        <v>2</v>
      </c>
      <c r="AJ14" s="251">
        <v>1</v>
      </c>
      <c r="AK14" s="251">
        <v>0.75</v>
      </c>
      <c r="AL14" s="251">
        <v>0.28299999999999997</v>
      </c>
      <c r="AM14" s="257">
        <v>2</v>
      </c>
      <c r="AN14" s="253">
        <f>((PI()*AK14*AL14/4)*(AI14^2-AJ14^2))*AM14</f>
        <v>1.0002045610866503</v>
      </c>
      <c r="AO14" s="254">
        <f>(((AN14/386.4)*(AI14^2+AJ14^2))/8)</f>
        <v>1.6178257005154155E-3</v>
      </c>
      <c r="AP14" s="255" t="e">
        <f ca="1">Ratio</f>
        <v>#N/A</v>
      </c>
      <c r="AQ14" s="256" t="e">
        <f ca="1">(AO14/(AP14^2))</f>
        <v>#N/A</v>
      </c>
      <c r="AS14" s="250"/>
      <c r="AT14" s="251"/>
      <c r="AU14" s="251"/>
      <c r="AV14" s="251"/>
      <c r="AW14" s="251"/>
      <c r="AX14" s="245"/>
      <c r="AY14" s="253"/>
      <c r="AZ14" s="254"/>
      <c r="BA14" s="251"/>
      <c r="BB14" s="256"/>
      <c r="BD14" s="250"/>
      <c r="BE14" s="251"/>
      <c r="BF14" s="251"/>
      <c r="BG14" s="251"/>
      <c r="BH14" s="251"/>
      <c r="BI14" s="245"/>
      <c r="BJ14" s="253"/>
      <c r="BK14" s="254"/>
      <c r="BL14" s="251"/>
      <c r="BM14" s="245"/>
      <c r="BO14" s="250"/>
      <c r="BP14" s="251"/>
      <c r="BQ14" s="251"/>
      <c r="BR14" s="251"/>
      <c r="BS14" s="251"/>
      <c r="BT14" s="245"/>
      <c r="BU14" s="253"/>
      <c r="BV14" s="254"/>
      <c r="BW14" s="245"/>
      <c r="BX14" s="245"/>
      <c r="BZ14" s="250"/>
      <c r="CA14" s="251"/>
      <c r="CB14" s="251"/>
      <c r="CC14" s="251"/>
      <c r="CD14" s="251"/>
      <c r="CE14" s="245"/>
      <c r="CF14" s="253"/>
      <c r="CG14" s="254"/>
      <c r="CH14" s="245"/>
      <c r="CI14" s="245"/>
      <c r="CK14" s="250"/>
      <c r="CL14" s="251"/>
      <c r="CM14" s="251"/>
      <c r="CN14" s="251"/>
      <c r="CO14" s="251"/>
      <c r="CP14" s="245"/>
      <c r="CQ14" s="253"/>
      <c r="CR14" s="254"/>
      <c r="CS14" s="245"/>
      <c r="CT14" s="245"/>
      <c r="CV14" s="250" t="s">
        <v>584</v>
      </c>
      <c r="CW14" s="251">
        <v>4</v>
      </c>
      <c r="CX14" s="251">
        <v>1.7497</v>
      </c>
      <c r="CY14" s="339">
        <v>1.25</v>
      </c>
      <c r="CZ14" s="251">
        <v>0.28299999999999997</v>
      </c>
      <c r="DA14" s="257">
        <v>2</v>
      </c>
      <c r="DB14" s="253">
        <f>((PI()*CY14*CZ14/4)*(CW14^2-CX14^2))*DA14</f>
        <v>7.1895536854607043</v>
      </c>
      <c r="DC14" s="254">
        <f>(((DB14/386.4)*(CW14^2+CX14^2))/8)</f>
        <v>4.4333371747148291E-2</v>
      </c>
      <c r="DD14" s="255" t="e">
        <f ca="1">(CW14/CW15)*Ratio</f>
        <v>#N/A</v>
      </c>
      <c r="DE14" s="256" t="e">
        <f ca="1">(DC14/(DD14^2))</f>
        <v>#N/A</v>
      </c>
      <c r="DG14" s="250" t="s">
        <v>584</v>
      </c>
      <c r="DH14" s="339">
        <v>4</v>
      </c>
      <c r="DI14" s="339">
        <v>1.7497</v>
      </c>
      <c r="DJ14" s="339">
        <v>1.25</v>
      </c>
      <c r="DK14" s="254">
        <v>0.28299999999999997</v>
      </c>
      <c r="DL14" s="257">
        <v>2</v>
      </c>
      <c r="DM14" s="340">
        <f>((PI()*DJ14*DK14/4)*(DH14^2-DI14^2))*DL14</f>
        <v>7.1895536854607043</v>
      </c>
      <c r="DN14" s="254">
        <f>(((DM14/386.4)*(DH14^2+DI14^2))/8)</f>
        <v>4.4333371747148291E-2</v>
      </c>
      <c r="DO14" s="255" t="e">
        <f ca="1">(DH14/DH15)*Ratio</f>
        <v>#N/A</v>
      </c>
      <c r="DP14" s="256" t="e">
        <f ca="1">(DN14/(DO14^2))</f>
        <v>#N/A</v>
      </c>
      <c r="DR14" s="250" t="s">
        <v>663</v>
      </c>
      <c r="DS14" s="255">
        <v>5.33</v>
      </c>
      <c r="DT14" s="339">
        <v>2</v>
      </c>
      <c r="DU14" s="339">
        <v>2</v>
      </c>
      <c r="DV14" s="251">
        <v>0.28299999999999997</v>
      </c>
      <c r="DW14" s="252">
        <v>2</v>
      </c>
      <c r="DX14" s="340">
        <f>((PI()*DU14*DV14/4)*(DS14^2-DT14^2))*DW14</f>
        <v>21.701238320984832</v>
      </c>
      <c r="DY14" s="254">
        <f>(((DX14/386.4)*(DS14^2+DT14^2))/8)</f>
        <v>0.22752111239032266</v>
      </c>
      <c r="DZ14" s="341" t="e">
        <f ca="1">Ratio</f>
        <v>#N/A</v>
      </c>
      <c r="EA14" s="256" t="e">
        <f ca="1">(DY14/(DZ14^2))</f>
        <v>#N/A</v>
      </c>
      <c r="EC14" s="250"/>
      <c r="ED14" s="255">
        <v>3.4990000000000001</v>
      </c>
      <c r="EE14" s="339">
        <v>0</v>
      </c>
      <c r="EF14" s="339">
        <v>6.3920000000000003</v>
      </c>
      <c r="EG14" s="251">
        <v>0.28299999999999997</v>
      </c>
      <c r="EH14" s="252">
        <v>1</v>
      </c>
      <c r="EI14" s="340">
        <f>((PI()*EF14*EG14/4)*(ED14^2-EE14^2))*EH14</f>
        <v>17.39406017391849</v>
      </c>
      <c r="EJ14" s="254">
        <f>(((EI14/386.4)*(ED14^2+EE14^2))/8)</f>
        <v>6.8890882538607756E-2</v>
      </c>
      <c r="EK14" s="341" t="e">
        <f ca="1">Ratio</f>
        <v>#N/A</v>
      </c>
      <c r="EL14" s="256" t="e">
        <f ca="1">(EJ14/(EK14^2))</f>
        <v>#N/A</v>
      </c>
      <c r="EN14" s="250"/>
      <c r="EO14" s="255">
        <v>3.4990000000000001</v>
      </c>
      <c r="EP14" s="339">
        <v>0</v>
      </c>
      <c r="EQ14" s="339">
        <v>6.3920000000000003</v>
      </c>
      <c r="ER14" s="251">
        <v>0.28299999999999997</v>
      </c>
      <c r="ES14" s="252">
        <v>1</v>
      </c>
      <c r="ET14" s="340">
        <f>((PI()*EQ14*ER14/4)*(EO14^2-EP14^2))*ES14</f>
        <v>17.39406017391849</v>
      </c>
      <c r="EU14" s="254">
        <f>(((ET14/386.4)*(EO14^2+EP14^2))/8)</f>
        <v>6.8890882538607756E-2</v>
      </c>
      <c r="EV14" s="341" t="e">
        <f ca="1">Ratio</f>
        <v>#N/A</v>
      </c>
      <c r="EW14" s="256" t="e">
        <f ca="1">(EU14/(EV14^2))</f>
        <v>#N/A</v>
      </c>
      <c r="EY14" s="250"/>
      <c r="EZ14" s="339">
        <v>2.75</v>
      </c>
      <c r="FA14" s="339">
        <v>0</v>
      </c>
      <c r="FB14" s="339">
        <v>1.63</v>
      </c>
      <c r="FC14" s="251">
        <v>0.28299999999999997</v>
      </c>
      <c r="FD14" s="252">
        <v>1</v>
      </c>
      <c r="FE14" s="340">
        <f t="shared" si="0"/>
        <v>2.739865910876667</v>
      </c>
      <c r="FF14" s="254">
        <f t="shared" si="1"/>
        <v>6.7029748806304336E-3</v>
      </c>
      <c r="FG14" s="341" t="e">
        <f ca="1">Ratio</f>
        <v>#N/A</v>
      </c>
      <c r="FH14" s="256" t="e">
        <f t="shared" ca="1" si="2"/>
        <v>#N/A</v>
      </c>
      <c r="FK14" s="339">
        <v>2.75</v>
      </c>
      <c r="FL14" s="339">
        <v>0</v>
      </c>
      <c r="FM14" s="339">
        <v>1.63</v>
      </c>
      <c r="FN14" s="251">
        <v>0.28299999999999997</v>
      </c>
      <c r="FO14" s="252">
        <v>1</v>
      </c>
      <c r="FP14" s="340">
        <f t="shared" si="3"/>
        <v>2.739865910876667</v>
      </c>
      <c r="FQ14" s="254">
        <f t="shared" si="4"/>
        <v>6.7029748806304336E-3</v>
      </c>
      <c r="FR14" s="341" t="e">
        <f ca="1">Ratio</f>
        <v>#N/A</v>
      </c>
      <c r="FS14" s="256" t="e">
        <f t="shared" ca="1" si="5"/>
        <v>#N/A</v>
      </c>
      <c r="FV14" s="378">
        <v>3.5</v>
      </c>
      <c r="FW14" s="378">
        <v>0</v>
      </c>
      <c r="FX14" s="380">
        <v>8.75</v>
      </c>
      <c r="FY14" s="251">
        <v>0.28299999999999997</v>
      </c>
      <c r="FZ14" s="252">
        <v>1</v>
      </c>
      <c r="GA14" s="340">
        <f t="shared" si="6"/>
        <v>23.824316975883406</v>
      </c>
      <c r="GB14" s="254">
        <f t="shared" si="7"/>
        <v>9.4412488015842302E-2</v>
      </c>
      <c r="GC14" s="341" t="e">
        <f t="shared" ca="1" si="8"/>
        <v>#N/A</v>
      </c>
      <c r="GD14" s="256" t="e">
        <f t="shared" ca="1" si="9"/>
        <v>#N/A</v>
      </c>
    </row>
    <row r="15" spans="1:186" ht="15.75" x14ac:dyDescent="0.25">
      <c r="A15" s="250"/>
      <c r="B15" s="251"/>
      <c r="C15" s="251"/>
      <c r="D15" s="251"/>
      <c r="E15" s="251"/>
      <c r="F15" s="245"/>
      <c r="G15" s="253"/>
      <c r="H15" s="254"/>
      <c r="I15" s="255"/>
      <c r="J15" s="256"/>
      <c r="L15" s="250"/>
      <c r="M15" s="251"/>
      <c r="N15" s="251"/>
      <c r="O15" s="251"/>
      <c r="P15" s="251"/>
      <c r="Q15" s="245"/>
      <c r="R15" s="253"/>
      <c r="S15" s="254"/>
      <c r="T15" s="255"/>
      <c r="U15" s="256"/>
      <c r="W15" s="250"/>
      <c r="X15" s="251"/>
      <c r="Y15" s="251"/>
      <c r="Z15" s="251"/>
      <c r="AA15" s="251"/>
      <c r="AB15" s="245"/>
      <c r="AC15" s="253"/>
      <c r="AD15" s="254"/>
      <c r="AE15" s="255"/>
      <c r="AF15" s="256"/>
      <c r="AH15" s="250"/>
      <c r="AI15" s="251"/>
      <c r="AJ15" s="251"/>
      <c r="AK15" s="251"/>
      <c r="AL15" s="251"/>
      <c r="AM15" s="245"/>
      <c r="AN15" s="253"/>
      <c r="AO15" s="254"/>
      <c r="AP15" s="245"/>
      <c r="AQ15" s="245"/>
      <c r="AS15" s="250" t="s">
        <v>584</v>
      </c>
      <c r="AT15" s="251">
        <v>3</v>
      </c>
      <c r="AU15" s="251">
        <v>1.7497</v>
      </c>
      <c r="AV15" s="251">
        <v>1</v>
      </c>
      <c r="AW15" s="251">
        <v>0.28299999999999997</v>
      </c>
      <c r="AX15" s="257">
        <v>2</v>
      </c>
      <c r="AY15" s="253">
        <f>((PI()*AV15*AW15/4)*(AT15^2-AU15^2))*AX15</f>
        <v>2.6398954249878739</v>
      </c>
      <c r="AZ15" s="254">
        <f>(((AY15/386.4)*(AT15^2+AU15^2))/8)</f>
        <v>1.0300519834145505E-2</v>
      </c>
      <c r="BA15" s="251" t="e">
        <f ca="1">(AT15/AT16)*Ratio</f>
        <v>#N/A</v>
      </c>
      <c r="BB15" s="256" t="e">
        <f ca="1">(AZ15/(BA15^2))</f>
        <v>#N/A</v>
      </c>
      <c r="BD15" s="250" t="s">
        <v>584</v>
      </c>
      <c r="BE15" s="251">
        <v>3</v>
      </c>
      <c r="BF15" s="251">
        <v>1.7497</v>
      </c>
      <c r="BG15" s="251">
        <v>1</v>
      </c>
      <c r="BH15" s="251">
        <v>0.28299999999999997</v>
      </c>
      <c r="BI15" s="257">
        <v>2</v>
      </c>
      <c r="BJ15" s="253">
        <f>((PI()*BG15*BH15/4)*(BE15^2-BF15^2))*BI15</f>
        <v>2.6398954249878739</v>
      </c>
      <c r="BK15" s="254">
        <f>(((BJ15/386.4)*(BE15^2+BF15^2))/8)</f>
        <v>1.0300519834145505E-2</v>
      </c>
      <c r="BL15" s="251" t="e">
        <f ca="1">(BE15/BE16)*Ratio</f>
        <v>#N/A</v>
      </c>
      <c r="BM15" s="256" t="e">
        <f ca="1">(BK15/(BL15^2))</f>
        <v>#N/A</v>
      </c>
      <c r="BO15" s="250" t="s">
        <v>584</v>
      </c>
      <c r="BP15" s="251">
        <v>3</v>
      </c>
      <c r="BQ15" s="251">
        <v>1.7497</v>
      </c>
      <c r="BR15" s="251">
        <v>1</v>
      </c>
      <c r="BS15" s="251">
        <v>0.28299999999999997</v>
      </c>
      <c r="BT15" s="257">
        <v>2</v>
      </c>
      <c r="BU15" s="253">
        <f>((PI()*BR15*BS15/4)*(BP15^2-BQ15^2))*BT15</f>
        <v>2.6398954249878739</v>
      </c>
      <c r="BV15" s="254">
        <f>(((BU15/386.4)*(BP15^2+BQ15^2))/8)</f>
        <v>1.0300519834145505E-2</v>
      </c>
      <c r="BW15" s="255" t="e">
        <f ca="1">(BP15/BP16)*Ratio</f>
        <v>#N/A</v>
      </c>
      <c r="BX15" s="256" t="e">
        <f ca="1">(BV15/(BW15^2))</f>
        <v>#N/A</v>
      </c>
      <c r="BZ15" s="250" t="s">
        <v>584</v>
      </c>
      <c r="CA15" s="251">
        <v>4</v>
      </c>
      <c r="CB15" s="251">
        <v>1.7497</v>
      </c>
      <c r="CC15" s="251">
        <v>1.25</v>
      </c>
      <c r="CD15" s="251">
        <v>0.28299999999999997</v>
      </c>
      <c r="CE15" s="257">
        <v>2</v>
      </c>
      <c r="CF15" s="253">
        <f>((PI()*CC15*CD15/4)*(CA15^2-CB15^2))*CE15</f>
        <v>7.1895536854607043</v>
      </c>
      <c r="CG15" s="254">
        <f>(((CF15/386.4)*(CA15^2+CB15^2))/8)</f>
        <v>4.4333371747148291E-2</v>
      </c>
      <c r="CH15" s="255" t="e">
        <f ca="1">(CA15/CA16)*Ratio</f>
        <v>#N/A</v>
      </c>
      <c r="CI15" s="256" t="e">
        <f ca="1">(CG15/(CH15^2))</f>
        <v>#N/A</v>
      </c>
      <c r="CK15" s="250" t="s">
        <v>584</v>
      </c>
      <c r="CL15" s="251">
        <v>4</v>
      </c>
      <c r="CM15" s="251">
        <v>1.7497</v>
      </c>
      <c r="CN15" s="251">
        <v>1.25</v>
      </c>
      <c r="CO15" s="251">
        <v>0.28299999999999997</v>
      </c>
      <c r="CP15" s="257">
        <v>2</v>
      </c>
      <c r="CQ15" s="253">
        <f>((PI()*CN15*CO15/4)*(CL15^2-CM15^2))*CP15</f>
        <v>7.1895536854607043</v>
      </c>
      <c r="CR15" s="254">
        <f>(((CQ15/386.4)*(CL15^2+CM15^2))/8)</f>
        <v>4.4333371747148291E-2</v>
      </c>
      <c r="CS15" s="255" t="e">
        <f ca="1">(CL15/CL16)*Ratio</f>
        <v>#N/A</v>
      </c>
      <c r="CT15" s="256" t="e">
        <f ca="1">(CR15/(CS15^2))</f>
        <v>#N/A</v>
      </c>
      <c r="CV15" s="250" t="s">
        <v>585</v>
      </c>
      <c r="CW15" s="251">
        <v>3.5</v>
      </c>
      <c r="CX15" s="251">
        <v>1.85</v>
      </c>
      <c r="CY15" s="339">
        <v>1.25</v>
      </c>
      <c r="CZ15" s="251">
        <v>0.28299999999999997</v>
      </c>
      <c r="DA15" s="257">
        <v>2</v>
      </c>
      <c r="DB15" s="253">
        <f>((PI()*CY15*CZ15/4)*(CW15^2-CX15^2))*DA15</f>
        <v>4.9051698683291143</v>
      </c>
      <c r="DC15" s="254">
        <f>(((DB15/386.4)*(CW15^2+CX15^2))/8)</f>
        <v>2.4869395303244061E-2</v>
      </c>
      <c r="DD15" s="255" t="e">
        <f ca="1">Ratio</f>
        <v>#N/A</v>
      </c>
      <c r="DE15" s="256" t="e">
        <f ca="1">(DC15/(DD15^2))</f>
        <v>#N/A</v>
      </c>
      <c r="DG15" s="250" t="s">
        <v>585</v>
      </c>
      <c r="DH15" s="339">
        <v>3.5</v>
      </c>
      <c r="DI15" s="339">
        <v>1.85</v>
      </c>
      <c r="DJ15" s="339">
        <v>1.25</v>
      </c>
      <c r="DK15" s="254">
        <v>0.28299999999999997</v>
      </c>
      <c r="DL15" s="257">
        <v>2</v>
      </c>
      <c r="DM15" s="340">
        <f>((PI()*DJ15*DK15/4)*(DH15^2-DI15^2))*DL15</f>
        <v>4.9051698683291143</v>
      </c>
      <c r="DN15" s="254">
        <f>(((DM15/386.4)*(DH15^2+DI15^2))/8)</f>
        <v>2.4869395303244061E-2</v>
      </c>
      <c r="DO15" s="255" t="e">
        <f ca="1">Ratio</f>
        <v>#N/A</v>
      </c>
      <c r="DP15" s="256" t="e">
        <f ca="1">(DN15/(DO15^2))</f>
        <v>#N/A</v>
      </c>
      <c r="DR15" s="250" t="s">
        <v>593</v>
      </c>
      <c r="DS15" s="255">
        <v>3.125</v>
      </c>
      <c r="DT15" s="339">
        <v>2</v>
      </c>
      <c r="DU15" s="339">
        <v>1.5</v>
      </c>
      <c r="DV15" s="251">
        <v>0.28299999999999997</v>
      </c>
      <c r="DW15" s="252">
        <v>2</v>
      </c>
      <c r="DX15" s="340">
        <f>((PI()*DU15*DV15/4)*(DS15^2-DT15^2))*DW15</f>
        <v>3.8445362816768123</v>
      </c>
      <c r="DY15" s="254">
        <f>(((DX15/386.4)*(DS15^2+DT15^2))/8)</f>
        <v>1.7120356092280464E-2</v>
      </c>
      <c r="DZ15" s="341" t="e">
        <f ca="1">Ratio</f>
        <v>#N/A</v>
      </c>
      <c r="EA15" s="256" t="e">
        <f ca="1">(DY15/(DZ15^2))</f>
        <v>#N/A</v>
      </c>
      <c r="EZ15" s="339">
        <v>3.5</v>
      </c>
      <c r="FA15" s="339">
        <v>0</v>
      </c>
      <c r="FB15" s="339">
        <v>6.3719999999999999</v>
      </c>
      <c r="FC15" s="251">
        <v>0.28299999999999997</v>
      </c>
      <c r="FD15" s="252">
        <v>1</v>
      </c>
      <c r="FE15" s="340">
        <f t="shared" si="0"/>
        <v>17.349548316609035</v>
      </c>
      <c r="FF15" s="254">
        <f t="shared" si="1"/>
        <v>6.8753871272793962E-2</v>
      </c>
      <c r="FG15" s="341" t="e">
        <f ca="1">Ratio</f>
        <v>#N/A</v>
      </c>
      <c r="FH15" s="256" t="e">
        <f t="shared" ca="1" si="2"/>
        <v>#N/A</v>
      </c>
      <c r="FK15" s="339">
        <v>3.5</v>
      </c>
      <c r="FL15" s="339">
        <v>0</v>
      </c>
      <c r="FM15" s="339">
        <v>6.3719999999999999</v>
      </c>
      <c r="FN15" s="251">
        <v>0.28299999999999997</v>
      </c>
      <c r="FO15" s="252">
        <v>1</v>
      </c>
      <c r="FP15" s="340">
        <f t="shared" si="3"/>
        <v>17.349548316609035</v>
      </c>
      <c r="FQ15" s="254">
        <f t="shared" si="4"/>
        <v>6.8753871272793962E-2</v>
      </c>
      <c r="FR15" s="341" t="e">
        <f ca="1">Ratio</f>
        <v>#N/A</v>
      </c>
      <c r="FS15" s="256" t="e">
        <f t="shared" ca="1" si="5"/>
        <v>#N/A</v>
      </c>
      <c r="FV15" s="378">
        <v>4.33</v>
      </c>
      <c r="FW15" s="378">
        <v>0</v>
      </c>
      <c r="FX15" s="380">
        <v>2.13</v>
      </c>
      <c r="FY15" s="251">
        <v>0.28299999999999997</v>
      </c>
      <c r="FZ15" s="252">
        <v>1</v>
      </c>
      <c r="GA15" s="340">
        <f t="shared" si="6"/>
        <v>8.8762947064692135</v>
      </c>
      <c r="GB15" s="254">
        <f t="shared" si="7"/>
        <v>5.3836944171234684E-2</v>
      </c>
      <c r="GC15" s="341" t="e">
        <f t="shared" ca="1" si="8"/>
        <v>#N/A</v>
      </c>
      <c r="GD15" s="256" t="e">
        <f t="shared" ca="1" si="9"/>
        <v>#N/A</v>
      </c>
    </row>
    <row r="16" spans="1:186" ht="15.75" x14ac:dyDescent="0.25">
      <c r="A16" s="250" t="s">
        <v>587</v>
      </c>
      <c r="B16" s="251">
        <v>6.9610000000000003</v>
      </c>
      <c r="C16" s="251">
        <v>4.88</v>
      </c>
      <c r="D16" s="251">
        <v>1.28</v>
      </c>
      <c r="E16" s="251">
        <v>0.28299999999999997</v>
      </c>
      <c r="F16" s="257">
        <v>1</v>
      </c>
      <c r="G16" s="253">
        <f>((PI()*D16*E16/4)*(B16^2-C16^2))*F16</f>
        <v>7.0104637481210448</v>
      </c>
      <c r="H16" s="254">
        <f>(((G16/386.4)*(B16^2+C16^2))/8)</f>
        <v>0.16389934693648806</v>
      </c>
      <c r="I16" s="255" t="e">
        <f ca="1">Ratio</f>
        <v>#N/A</v>
      </c>
      <c r="J16" s="256" t="e">
        <f ca="1">(H16/(I16^2))</f>
        <v>#N/A</v>
      </c>
      <c r="L16" s="250" t="s">
        <v>587</v>
      </c>
      <c r="M16" s="251">
        <v>5.5940000000000003</v>
      </c>
      <c r="N16" s="251">
        <v>4.88</v>
      </c>
      <c r="O16" s="251">
        <v>1.28</v>
      </c>
      <c r="P16" s="251">
        <v>0.28299999999999997</v>
      </c>
      <c r="Q16" s="257">
        <v>1</v>
      </c>
      <c r="R16" s="253">
        <f>((PI()*P16*O16/4)*(M16^2-N16^2))*Q16</f>
        <v>2.1276347155895783</v>
      </c>
      <c r="S16" s="254">
        <f>(((R16/386.4)*(M16^2+N16^2))/8)</f>
        <v>3.7929628750578342E-2</v>
      </c>
      <c r="T16" s="255" t="e">
        <f ca="1">Ratio</f>
        <v>#N/A</v>
      </c>
      <c r="U16" s="256" t="e">
        <f ca="1">(S16/(T16^2))</f>
        <v>#N/A</v>
      </c>
      <c r="W16" s="250" t="s">
        <v>587</v>
      </c>
      <c r="X16" s="251">
        <v>5.5940000000000003</v>
      </c>
      <c r="Y16" s="251">
        <v>4.88</v>
      </c>
      <c r="Z16" s="251">
        <v>1.28</v>
      </c>
      <c r="AA16" s="251">
        <v>0.28299999999999997</v>
      </c>
      <c r="AB16" s="257">
        <v>1</v>
      </c>
      <c r="AC16" s="253">
        <f>((PI()*Z16*AA16/4)*(X16^2-Y16^2))*AB16</f>
        <v>2.1276347155895783</v>
      </c>
      <c r="AD16" s="254">
        <f>(((AC16/386.4)*(X16^2+Y16^2))/8)</f>
        <v>3.7929628750578342E-2</v>
      </c>
      <c r="AE16" s="255" t="e">
        <f ca="1">Ratio</f>
        <v>#N/A</v>
      </c>
      <c r="AF16" s="256" t="e">
        <f ca="1">(AD16/(AE16^2))</f>
        <v>#N/A</v>
      </c>
      <c r="AH16" s="250" t="s">
        <v>587</v>
      </c>
      <c r="AI16" s="251">
        <v>6.9610000000000003</v>
      </c>
      <c r="AJ16" s="251">
        <v>4.88</v>
      </c>
      <c r="AK16" s="251">
        <v>1.28</v>
      </c>
      <c r="AL16" s="251">
        <v>0.28299999999999997</v>
      </c>
      <c r="AM16" s="257">
        <v>1</v>
      </c>
      <c r="AN16" s="253">
        <f>((PI()*AK16*AL16/4)*(AI16^2-AJ16^2))*AM16</f>
        <v>7.0104637481210448</v>
      </c>
      <c r="AO16" s="254">
        <f>(((AN16/386.4)*(AI16^2+AJ16^2))/8)</f>
        <v>0.16389934693648806</v>
      </c>
      <c r="AP16" s="255" t="e">
        <f ca="1">Ratio</f>
        <v>#N/A</v>
      </c>
      <c r="AQ16" s="256" t="e">
        <f ca="1">(AO16/(AP16^2))</f>
        <v>#N/A</v>
      </c>
      <c r="AS16" s="250" t="s">
        <v>585</v>
      </c>
      <c r="AT16" s="251">
        <v>2.5</v>
      </c>
      <c r="AU16" s="251">
        <v>1.339</v>
      </c>
      <c r="AV16" s="251">
        <v>1</v>
      </c>
      <c r="AW16" s="251">
        <v>0.28299999999999997</v>
      </c>
      <c r="AX16" s="257">
        <v>2</v>
      </c>
      <c r="AY16" s="253">
        <f>((PI()*AV16*AW16/4)*(AT16^2-AU16^2))*AX16</f>
        <v>1.9813292199660117</v>
      </c>
      <c r="AZ16" s="254">
        <f>(((AY16/386.4)*(AT16^2+AU16^2))/8)</f>
        <v>5.1551741689888249E-3</v>
      </c>
      <c r="BA16" s="251" t="e">
        <f ca="1">Ratio</f>
        <v>#N/A</v>
      </c>
      <c r="BB16" s="256" t="e">
        <f ca="1">(AZ16/(BA16^2))</f>
        <v>#N/A</v>
      </c>
      <c r="BD16" s="250" t="s">
        <v>585</v>
      </c>
      <c r="BE16" s="251">
        <v>2.5</v>
      </c>
      <c r="BF16" s="251">
        <v>1.339</v>
      </c>
      <c r="BG16" s="251">
        <v>1</v>
      </c>
      <c r="BH16" s="251">
        <v>0.28299999999999997</v>
      </c>
      <c r="BI16" s="257">
        <v>2</v>
      </c>
      <c r="BJ16" s="253">
        <f>((PI()*BG16*BH16/4)*(BE16^2-BF16^2))*BI16</f>
        <v>1.9813292199660117</v>
      </c>
      <c r="BK16" s="254">
        <f>(((BJ16/386.4)*(BE16^2+BF16^2))/8)</f>
        <v>5.1551741689888249E-3</v>
      </c>
      <c r="BL16" s="251" t="e">
        <f ca="1">Ratio</f>
        <v>#N/A</v>
      </c>
      <c r="BM16" s="256" t="e">
        <f ca="1">(BK16/(BL16^2))</f>
        <v>#N/A</v>
      </c>
      <c r="BO16" s="250" t="s">
        <v>585</v>
      </c>
      <c r="BP16" s="251">
        <v>2.5</v>
      </c>
      <c r="BQ16" s="251">
        <v>1.339</v>
      </c>
      <c r="BR16" s="251">
        <v>1</v>
      </c>
      <c r="BS16" s="251">
        <v>0.28299999999999997</v>
      </c>
      <c r="BT16" s="257">
        <v>2</v>
      </c>
      <c r="BU16" s="253">
        <f>((PI()*BR16*BS16/4)*(BP16^2-BQ16^2))*BT16</f>
        <v>1.9813292199660117</v>
      </c>
      <c r="BV16" s="254">
        <f>(((BU16/386.4)*(BP16^2+BQ16^2))/8)</f>
        <v>5.1551741689888249E-3</v>
      </c>
      <c r="BW16" s="255" t="e">
        <f ca="1">Ratio</f>
        <v>#N/A</v>
      </c>
      <c r="BX16" s="256" t="e">
        <f ca="1">(BV16/(BW16^2))</f>
        <v>#N/A</v>
      </c>
      <c r="BZ16" s="250" t="s">
        <v>585</v>
      </c>
      <c r="CA16" s="251">
        <v>3.5</v>
      </c>
      <c r="CB16" s="251">
        <v>1.85</v>
      </c>
      <c r="CC16" s="251">
        <v>1.25</v>
      </c>
      <c r="CD16" s="251">
        <v>0.28299999999999997</v>
      </c>
      <c r="CE16" s="257">
        <v>2</v>
      </c>
      <c r="CF16" s="253">
        <f>((PI()*CC16*CD16/4)*(CA16^2-CB16^2))*CE16</f>
        <v>4.9051698683291143</v>
      </c>
      <c r="CG16" s="254">
        <f>(((CF16/386.4)*(CA16^2+CB16^2))/8)</f>
        <v>2.4869395303244061E-2</v>
      </c>
      <c r="CH16" s="255" t="e">
        <f ca="1">Ratio</f>
        <v>#N/A</v>
      </c>
      <c r="CI16" s="256" t="e">
        <f ca="1">(CG16/(CH16^2))</f>
        <v>#N/A</v>
      </c>
      <c r="CK16" s="250" t="s">
        <v>585</v>
      </c>
      <c r="CL16" s="251">
        <v>3.5</v>
      </c>
      <c r="CM16" s="251">
        <v>1.85</v>
      </c>
      <c r="CN16" s="251">
        <v>1.25</v>
      </c>
      <c r="CO16" s="251">
        <v>0.28299999999999997</v>
      </c>
      <c r="CP16" s="257">
        <v>2</v>
      </c>
      <c r="CQ16" s="253">
        <f>((PI()*CN16*CO16/4)*(CL16^2-CM16^2))*CP16</f>
        <v>4.9051698683291143</v>
      </c>
      <c r="CR16" s="254">
        <f>(((CQ16/386.4)*(CL16^2+CM16^2))/8)</f>
        <v>2.4869395303244061E-2</v>
      </c>
      <c r="CS16" s="255" t="e">
        <f ca="1">Ratio</f>
        <v>#N/A</v>
      </c>
      <c r="CT16" s="256" t="e">
        <f ca="1">(CR16/(CS16^2))</f>
        <v>#N/A</v>
      </c>
      <c r="CV16" s="250"/>
      <c r="CW16" s="251"/>
      <c r="CX16" s="251"/>
      <c r="CY16" s="339"/>
      <c r="CZ16" s="251"/>
      <c r="DA16" s="257"/>
      <c r="DB16" s="253"/>
      <c r="DC16" s="254"/>
      <c r="DD16" s="255"/>
      <c r="DE16" s="256"/>
      <c r="DG16" s="250"/>
      <c r="DH16" s="339"/>
      <c r="DI16" s="339"/>
      <c r="DJ16" s="339"/>
      <c r="DK16" s="254"/>
      <c r="DL16" s="245"/>
      <c r="DM16" s="340"/>
      <c r="DN16" s="254"/>
      <c r="DO16" s="255"/>
      <c r="DP16" s="256"/>
      <c r="DR16" s="250"/>
      <c r="DS16" s="341"/>
      <c r="DT16" s="341"/>
      <c r="DU16" s="339"/>
      <c r="DV16" s="251"/>
      <c r="DW16" s="252"/>
      <c r="DX16" s="340"/>
      <c r="DY16" s="254"/>
      <c r="DZ16" s="341"/>
      <c r="EA16" s="256"/>
      <c r="EC16" s="250" t="s">
        <v>589</v>
      </c>
      <c r="ED16" s="255">
        <v>5.83</v>
      </c>
      <c r="EE16" s="339">
        <v>2</v>
      </c>
      <c r="EF16" s="339">
        <v>2</v>
      </c>
      <c r="EG16" s="251">
        <v>0.28299999999999997</v>
      </c>
      <c r="EH16" s="252">
        <v>2</v>
      </c>
      <c r="EI16" s="340">
        <f>((PI()*EF16*EG16/4)*(ED16^2-EE16^2))*EH16</f>
        <v>26.662252943974618</v>
      </c>
      <c r="EJ16" s="254">
        <f>(((EI16/386.4)*(ED16^2+EE16^2))/8)</f>
        <v>0.32766228676997849</v>
      </c>
      <c r="EK16" s="341" t="e">
        <f ca="1">Ratio</f>
        <v>#N/A</v>
      </c>
      <c r="EL16" s="256" t="e">
        <f ca="1">(EJ16/(EK16^2))</f>
        <v>#N/A</v>
      </c>
      <c r="EN16" s="250" t="s">
        <v>589</v>
      </c>
      <c r="EO16" s="255">
        <v>5.83</v>
      </c>
      <c r="EP16" s="339">
        <v>2</v>
      </c>
      <c r="EQ16" s="339">
        <v>2</v>
      </c>
      <c r="ER16" s="251">
        <v>0.28299999999999997</v>
      </c>
      <c r="ES16" s="252">
        <v>2</v>
      </c>
      <c r="ET16" s="340">
        <f>((PI()*EQ16*ER16/4)*(EO16^2-EP16^2))*ES16</f>
        <v>26.662252943974618</v>
      </c>
      <c r="EU16" s="254">
        <f>(((ET16/386.4)*(EO16^2+EP16^2))/8)</f>
        <v>0.32766228676997849</v>
      </c>
      <c r="EV16" s="341" t="e">
        <f ca="1">Ratio</f>
        <v>#N/A</v>
      </c>
      <c r="EW16" s="256" t="e">
        <f ca="1">(EU16/(EV16^2))</f>
        <v>#N/A</v>
      </c>
      <c r="EY16" s="250" t="s">
        <v>594</v>
      </c>
      <c r="EZ16" s="339">
        <v>5.33</v>
      </c>
      <c r="FA16" s="339">
        <v>2</v>
      </c>
      <c r="FB16" s="339">
        <v>1.75</v>
      </c>
      <c r="FC16" s="251">
        <v>0.28299999999999997</v>
      </c>
      <c r="FD16" s="252">
        <v>2</v>
      </c>
      <c r="FE16" s="340">
        <f t="shared" si="0"/>
        <v>18.988583530861728</v>
      </c>
      <c r="FF16" s="254">
        <f t="shared" si="1"/>
        <v>0.19908097334153232</v>
      </c>
      <c r="FG16" s="341" t="e">
        <f ca="1">(EZ13/EZ14)*Ratio</f>
        <v>#N/A</v>
      </c>
      <c r="FH16" s="256" t="e">
        <f t="shared" ca="1" si="2"/>
        <v>#N/A</v>
      </c>
      <c r="FJ16" s="250" t="s">
        <v>594</v>
      </c>
      <c r="FK16" s="339">
        <v>5.33</v>
      </c>
      <c r="FL16" s="339">
        <v>2</v>
      </c>
      <c r="FM16" s="339">
        <v>1.75</v>
      </c>
      <c r="FN16" s="251">
        <v>0.28299999999999997</v>
      </c>
      <c r="FO16" s="252">
        <v>2</v>
      </c>
      <c r="FP16" s="340">
        <f t="shared" si="3"/>
        <v>18.988583530861728</v>
      </c>
      <c r="FQ16" s="254">
        <f t="shared" si="4"/>
        <v>0.19908097334153232</v>
      </c>
      <c r="FR16" s="341" t="e">
        <f ca="1">(FK13/FK14)*Ratio</f>
        <v>#N/A</v>
      </c>
      <c r="FS16" s="256" t="e">
        <f t="shared" ca="1" si="5"/>
        <v>#N/A</v>
      </c>
      <c r="FV16" s="378">
        <v>5.75</v>
      </c>
      <c r="FW16" s="378">
        <v>0</v>
      </c>
      <c r="FX16" s="379">
        <v>2</v>
      </c>
      <c r="FY16" s="251">
        <v>0.28299999999999997</v>
      </c>
      <c r="FZ16" s="252">
        <v>1</v>
      </c>
      <c r="GA16" s="340">
        <f t="shared" si="6"/>
        <v>14.697450355967721</v>
      </c>
      <c r="GB16" s="254">
        <f t="shared" si="7"/>
        <v>0.15719929231178276</v>
      </c>
      <c r="GC16" s="341" t="e">
        <f t="shared" ca="1" si="8"/>
        <v>#N/A</v>
      </c>
      <c r="GD16" s="256" t="e">
        <f t="shared" ca="1" si="9"/>
        <v>#N/A</v>
      </c>
    </row>
    <row r="17" spans="1:186" ht="15.75" x14ac:dyDescent="0.25">
      <c r="A17" s="250" t="s">
        <v>590</v>
      </c>
      <c r="B17" s="251">
        <v>4.88</v>
      </c>
      <c r="C17" s="251">
        <v>2.1875</v>
      </c>
      <c r="D17" s="251">
        <v>0.75</v>
      </c>
      <c r="E17" s="251">
        <v>0.28299999999999997</v>
      </c>
      <c r="F17" s="257">
        <v>1</v>
      </c>
      <c r="G17" s="253">
        <f>((PI()*D17*E17/4)*(B17^2-C17^2))*F17</f>
        <v>3.1721893987966054</v>
      </c>
      <c r="H17" s="254">
        <f>(((G17/386.4)*(B17^2+C17^2))/8)</f>
        <v>2.934886424253921E-2</v>
      </c>
      <c r="I17" s="255" t="e">
        <f ca="1">Ratio</f>
        <v>#N/A</v>
      </c>
      <c r="J17" s="256" t="e">
        <f ca="1">(H17/(I17^2))</f>
        <v>#N/A</v>
      </c>
      <c r="L17" s="250" t="s">
        <v>590</v>
      </c>
      <c r="M17" s="251">
        <v>4.88</v>
      </c>
      <c r="N17" s="251">
        <v>2.1875</v>
      </c>
      <c r="O17" s="251">
        <v>0.75</v>
      </c>
      <c r="P17" s="251">
        <v>0.28299999999999997</v>
      </c>
      <c r="Q17" s="257">
        <v>1</v>
      </c>
      <c r="R17" s="253">
        <f>((PI()*P17*O17/4)*(M17^2-N17^2))*Q17</f>
        <v>3.1721893987966054</v>
      </c>
      <c r="S17" s="254">
        <f>(((R17/386.4)*(M17^2+N17^2))/8)</f>
        <v>2.934886424253921E-2</v>
      </c>
      <c r="T17" s="255" t="e">
        <f ca="1">Ratio</f>
        <v>#N/A</v>
      </c>
      <c r="U17" s="256" t="e">
        <f ca="1">(S17/(T17^2))</f>
        <v>#N/A</v>
      </c>
      <c r="W17" s="250" t="s">
        <v>591</v>
      </c>
      <c r="X17" s="251">
        <v>4.88</v>
      </c>
      <c r="Y17" s="251">
        <v>2.1875</v>
      </c>
      <c r="Z17" s="251">
        <v>0.75</v>
      </c>
      <c r="AA17" s="251">
        <v>0.28299999999999997</v>
      </c>
      <c r="AB17" s="257">
        <v>1</v>
      </c>
      <c r="AC17" s="253">
        <f>((PI()*Z17*AA17/4)*(X17^2-Y17^2))*AB17</f>
        <v>3.1721893987966054</v>
      </c>
      <c r="AD17" s="254">
        <f>(((AC17/386.4)*(X17^2+Y17^2))/8)</f>
        <v>2.934886424253921E-2</v>
      </c>
      <c r="AE17" s="255" t="e">
        <f ca="1">Ratio</f>
        <v>#N/A</v>
      </c>
      <c r="AF17" s="256" t="e">
        <f ca="1">(AD17/(AE17^2))</f>
        <v>#N/A</v>
      </c>
      <c r="AH17" s="250" t="s">
        <v>592</v>
      </c>
      <c r="AI17" s="251">
        <v>4.88</v>
      </c>
      <c r="AJ17" s="251">
        <v>2.1875</v>
      </c>
      <c r="AK17" s="251">
        <v>0.75</v>
      </c>
      <c r="AL17" s="251">
        <v>0.28299999999999997</v>
      </c>
      <c r="AM17" s="257">
        <v>1</v>
      </c>
      <c r="AN17" s="253">
        <f>((PI()*AK17*AL17/4)*(AI17^2-AJ17^2))*AM17</f>
        <v>3.1721893987966054</v>
      </c>
      <c r="AO17" s="254">
        <f>(((AN17/386.4)*(AI17^2+AJ17^2))/8)</f>
        <v>2.934886424253921E-2</v>
      </c>
      <c r="AP17" s="255" t="e">
        <f ca="1">Ratio</f>
        <v>#N/A</v>
      </c>
      <c r="AQ17" s="256" t="e">
        <f ca="1">(AO17/(AP17^2))</f>
        <v>#N/A</v>
      </c>
      <c r="AS17" s="250"/>
      <c r="AT17" s="251"/>
      <c r="AU17" s="251"/>
      <c r="AV17" s="251"/>
      <c r="AW17" s="251"/>
      <c r="AX17" s="245"/>
      <c r="AY17" s="253"/>
      <c r="AZ17" s="254"/>
      <c r="BA17" s="251"/>
      <c r="BB17" s="256"/>
      <c r="BD17" s="250"/>
      <c r="BE17" s="251"/>
      <c r="BF17" s="251"/>
      <c r="BG17" s="251"/>
      <c r="BH17" s="251"/>
      <c r="BI17" s="245"/>
      <c r="BJ17" s="253"/>
      <c r="BK17" s="254"/>
      <c r="BL17" s="251"/>
      <c r="BM17" s="245"/>
      <c r="BO17" s="250"/>
      <c r="BP17" s="251"/>
      <c r="BQ17" s="251"/>
      <c r="BR17" s="251"/>
      <c r="BS17" s="251"/>
      <c r="BT17" s="245"/>
      <c r="BU17" s="253"/>
      <c r="BV17" s="254"/>
      <c r="BW17" s="245"/>
      <c r="BX17" s="245"/>
      <c r="BZ17" s="250"/>
      <c r="CA17" s="251"/>
      <c r="CB17" s="251"/>
      <c r="CC17" s="251"/>
      <c r="CD17" s="251"/>
      <c r="CE17" s="245"/>
      <c r="CF17" s="253"/>
      <c r="CG17" s="254"/>
      <c r="CH17" s="245"/>
      <c r="CI17" s="245"/>
      <c r="CK17" s="250"/>
      <c r="CL17" s="251"/>
      <c r="CM17" s="251"/>
      <c r="CN17" s="251"/>
      <c r="CO17" s="251"/>
      <c r="CP17" s="245"/>
      <c r="CQ17" s="253"/>
      <c r="CR17" s="254"/>
      <c r="CS17" s="255"/>
      <c r="CT17" s="256"/>
      <c r="CV17" s="250" t="s">
        <v>587</v>
      </c>
      <c r="CW17" s="251">
        <v>11.154</v>
      </c>
      <c r="CX17" s="251">
        <v>7.9</v>
      </c>
      <c r="CY17" s="251">
        <v>1.22</v>
      </c>
      <c r="CZ17" s="251">
        <v>0.28299999999999997</v>
      </c>
      <c r="DA17" s="257">
        <v>1</v>
      </c>
      <c r="DB17" s="253">
        <f>((PI()*CY17*CZ17/4)*(CW17^2-CX17^2))*DA17</f>
        <v>16.812792655299322</v>
      </c>
      <c r="DC17" s="254">
        <f>(((DB17/386.4)*(CW17^2+CX17^2))/8)</f>
        <v>1.0161085580406366</v>
      </c>
      <c r="DD17" s="255" t="e">
        <f ca="1">Ratio</f>
        <v>#N/A</v>
      </c>
      <c r="DE17" s="256" t="e">
        <f ca="1">(DC17/(DD17^2))</f>
        <v>#N/A</v>
      </c>
      <c r="DG17" s="250" t="s">
        <v>587</v>
      </c>
      <c r="DH17" s="339">
        <v>11.154</v>
      </c>
      <c r="DI17" s="339">
        <v>7.9</v>
      </c>
      <c r="DJ17" s="339">
        <v>1.22</v>
      </c>
      <c r="DK17" s="254">
        <v>0.28299999999999997</v>
      </c>
      <c r="DL17" s="257">
        <v>1</v>
      </c>
      <c r="DM17" s="340">
        <f>((PI()*DJ17*DK17/4)*(DH17^2-DI17^2))*DL17</f>
        <v>16.812792655299322</v>
      </c>
      <c r="DN17" s="254">
        <f>(((DM17/386.4)*(DH17^2+DI17^2))/8)</f>
        <v>1.0161085580406366</v>
      </c>
      <c r="DO17" s="255" t="e">
        <f ca="1">Ratio</f>
        <v>#N/A</v>
      </c>
      <c r="DP17" s="256" t="e">
        <f ca="1">(DN17/(DO17^2))</f>
        <v>#N/A</v>
      </c>
      <c r="DR17" s="250" t="s">
        <v>664</v>
      </c>
      <c r="DS17" s="255">
        <v>4.83</v>
      </c>
      <c r="DT17" s="339">
        <v>2</v>
      </c>
      <c r="DU17" s="339">
        <v>2</v>
      </c>
      <c r="DV17" s="251">
        <v>0.28299999999999997</v>
      </c>
      <c r="DW17" s="252">
        <v>2</v>
      </c>
      <c r="DX17" s="340">
        <f>((PI()*DU17*DV17/4)*(DS17^2-DT17^2))*DW17</f>
        <v>17.184759058478004</v>
      </c>
      <c r="DY17" s="254">
        <f>(((DX17/386.4)*(DS17^2+DT17^2))/8)</f>
        <v>0.15192823558269913</v>
      </c>
      <c r="DZ17" s="341" t="e">
        <f ca="1">Ratio</f>
        <v>#N/A</v>
      </c>
      <c r="EA17" s="256" t="e">
        <f ca="1">(DY17/(DZ17^2))</f>
        <v>#N/A</v>
      </c>
      <c r="EC17" s="250" t="s">
        <v>593</v>
      </c>
      <c r="ED17" s="255">
        <v>3.25</v>
      </c>
      <c r="EE17" s="339">
        <v>2</v>
      </c>
      <c r="EF17" s="339">
        <v>2</v>
      </c>
      <c r="EG17" s="251">
        <v>0.28299999999999997</v>
      </c>
      <c r="EH17" s="252">
        <v>2</v>
      </c>
      <c r="EI17" s="340">
        <f>((PI()*EF17*EG17/4)*(ED17^2-EE17^2))*EH17</f>
        <v>5.8345266063387928</v>
      </c>
      <c r="EJ17" s="254">
        <f>(((EI17/386.4)*(ED17^2+EE17^2))/8)</f>
        <v>2.748618455771502E-2</v>
      </c>
      <c r="EK17" s="341" t="e">
        <f ca="1">Ratio</f>
        <v>#N/A</v>
      </c>
      <c r="EL17" s="256" t="e">
        <f ca="1">(EJ17/(EK17^2))</f>
        <v>#N/A</v>
      </c>
      <c r="EN17" s="250" t="s">
        <v>593</v>
      </c>
      <c r="EO17" s="255">
        <v>3.25</v>
      </c>
      <c r="EP17" s="339">
        <v>2</v>
      </c>
      <c r="EQ17" s="339">
        <v>2</v>
      </c>
      <c r="ER17" s="251">
        <v>0.28299999999999997</v>
      </c>
      <c r="ES17" s="252">
        <v>2</v>
      </c>
      <c r="ET17" s="340">
        <f>((PI()*EQ17*ER17/4)*(EO17^2-EP17^2))*ES17</f>
        <v>5.8345266063387928</v>
      </c>
      <c r="EU17" s="254">
        <f>(((ET17/386.4)*(EO17^2+EP17^2))/8)</f>
        <v>2.748618455771502E-2</v>
      </c>
      <c r="EV17" s="341" t="e">
        <f ca="1">Ratio</f>
        <v>#N/A</v>
      </c>
      <c r="EW17" s="256" t="e">
        <f ca="1">(EU17/(EV17^2))</f>
        <v>#N/A</v>
      </c>
      <c r="EY17" s="250" t="s">
        <v>593</v>
      </c>
      <c r="EZ17" s="339">
        <v>3.125</v>
      </c>
      <c r="FA17" s="339">
        <v>2</v>
      </c>
      <c r="FB17" s="339">
        <v>1.75</v>
      </c>
      <c r="FC17" s="251">
        <v>0.28299999999999997</v>
      </c>
      <c r="FD17" s="252">
        <v>2</v>
      </c>
      <c r="FE17" s="340">
        <f t="shared" si="0"/>
        <v>4.4852923286229469</v>
      </c>
      <c r="FF17" s="254">
        <f t="shared" si="1"/>
        <v>1.9973748774327206E-2</v>
      </c>
      <c r="FG17" s="341" t="e">
        <f ca="1">(EZ13/EZ14)*Ratio</f>
        <v>#N/A</v>
      </c>
      <c r="FH17" s="256" t="e">
        <f t="shared" ca="1" si="2"/>
        <v>#N/A</v>
      </c>
      <c r="FJ17" s="250" t="s">
        <v>593</v>
      </c>
      <c r="FK17" s="339">
        <v>3.125</v>
      </c>
      <c r="FL17" s="339">
        <v>2</v>
      </c>
      <c r="FM17" s="339">
        <v>1.75</v>
      </c>
      <c r="FN17" s="251">
        <v>0.28299999999999997</v>
      </c>
      <c r="FO17" s="252">
        <v>2</v>
      </c>
      <c r="FP17" s="340">
        <f t="shared" si="3"/>
        <v>4.4852923286229469</v>
      </c>
      <c r="FQ17" s="254">
        <f t="shared" si="4"/>
        <v>1.9973748774327206E-2</v>
      </c>
      <c r="FR17" s="341" t="e">
        <f ca="1">(FK13/FK14)*Ratio</f>
        <v>#N/A</v>
      </c>
      <c r="FS17" s="256" t="e">
        <f t="shared" ca="1" si="5"/>
        <v>#N/A</v>
      </c>
      <c r="FV17" s="2"/>
      <c r="FW17" s="2"/>
      <c r="FX17" s="2"/>
      <c r="GC17" s="341"/>
    </row>
    <row r="18" spans="1:186" ht="15.75" x14ac:dyDescent="0.25">
      <c r="A18" s="250"/>
      <c r="B18" s="251"/>
      <c r="C18" s="251"/>
      <c r="D18" s="251"/>
      <c r="E18" s="251"/>
      <c r="F18" s="245"/>
      <c r="G18" s="253"/>
      <c r="H18" s="254"/>
      <c r="I18" s="255"/>
      <c r="J18" s="256"/>
      <c r="L18" s="250"/>
      <c r="M18" s="251"/>
      <c r="N18" s="251"/>
      <c r="O18" s="251"/>
      <c r="P18" s="251"/>
      <c r="Q18" s="245"/>
      <c r="R18" s="253"/>
      <c r="S18" s="254"/>
      <c r="T18" s="255"/>
      <c r="U18" s="256"/>
      <c r="W18" s="250"/>
      <c r="X18" s="251"/>
      <c r="Y18" s="251"/>
      <c r="Z18" s="251"/>
      <c r="AA18" s="251"/>
      <c r="AB18" s="245"/>
      <c r="AC18" s="253"/>
      <c r="AD18" s="254"/>
      <c r="AE18" s="255"/>
      <c r="AF18" s="256"/>
      <c r="AH18" s="250"/>
      <c r="AI18" s="251"/>
      <c r="AJ18" s="251"/>
      <c r="AK18" s="251"/>
      <c r="AL18" s="251"/>
      <c r="AM18" s="245"/>
      <c r="AN18" s="253"/>
      <c r="AO18" s="254"/>
      <c r="AP18" s="245"/>
      <c r="AQ18" s="245"/>
      <c r="AS18" s="250" t="s">
        <v>587</v>
      </c>
      <c r="AT18" s="251">
        <v>8.9629999999999992</v>
      </c>
      <c r="AU18" s="251">
        <v>7.9</v>
      </c>
      <c r="AV18" s="251">
        <v>1.22</v>
      </c>
      <c r="AW18" s="251">
        <v>0.28299999999999997</v>
      </c>
      <c r="AX18" s="257">
        <v>1</v>
      </c>
      <c r="AY18" s="253">
        <f>((PI()*AV18*AW18/4)*(AT18^2-AU18^2))*AX18</f>
        <v>4.8607608258250448</v>
      </c>
      <c r="AZ18" s="254">
        <f>(((AY18/386.4)*(AT18^2+AU18^2))/8)</f>
        <v>0.22446011183460815</v>
      </c>
      <c r="BA18" s="251" t="e">
        <f ca="1">Ratio</f>
        <v>#N/A</v>
      </c>
      <c r="BB18" s="256" t="e">
        <f ca="1">(AZ18/(BA18^2))</f>
        <v>#N/A</v>
      </c>
      <c r="BD18" s="250" t="s">
        <v>587</v>
      </c>
      <c r="BE18" s="251">
        <v>8.9629999999999992</v>
      </c>
      <c r="BF18" s="251">
        <v>7.9</v>
      </c>
      <c r="BG18" s="251">
        <v>1.22</v>
      </c>
      <c r="BH18" s="251">
        <v>0.28299999999999997</v>
      </c>
      <c r="BI18" s="257">
        <v>1</v>
      </c>
      <c r="BJ18" s="253">
        <f>((PI()*BG18*BH18/4)*(BE18^2-BF18^2))*BI18</f>
        <v>4.8607608258250448</v>
      </c>
      <c r="BK18" s="254">
        <f>(((BJ18/386.4)*(BE18^2+BF18^2))/8)</f>
        <v>0.22446011183460815</v>
      </c>
      <c r="BL18" s="251" t="e">
        <f ca="1">Ratio</f>
        <v>#N/A</v>
      </c>
      <c r="BM18" s="256" t="e">
        <f ca="1">(BK18/(BL18^2))</f>
        <v>#N/A</v>
      </c>
      <c r="BO18" s="250" t="s">
        <v>587</v>
      </c>
      <c r="BP18" s="251">
        <v>11.154</v>
      </c>
      <c r="BQ18" s="251">
        <v>7.9</v>
      </c>
      <c r="BR18" s="251">
        <v>1.22</v>
      </c>
      <c r="BS18" s="251">
        <v>0.28299999999999997</v>
      </c>
      <c r="BT18" s="257">
        <v>1</v>
      </c>
      <c r="BU18" s="253">
        <f>((PI()*BR18*BS18/4)*(BP18^2-BQ18^2))*BT18</f>
        <v>16.812792655299322</v>
      </c>
      <c r="BV18" s="254">
        <f>(((BU18/386.4)*(BP18^2+BQ18^2))/8)</f>
        <v>1.0161085580406366</v>
      </c>
      <c r="BW18" s="255" t="e">
        <f ca="1">Ratio</f>
        <v>#N/A</v>
      </c>
      <c r="BX18" s="256" t="e">
        <f ca="1">(BV18/(BW18^2))</f>
        <v>#N/A</v>
      </c>
      <c r="BZ18" s="250" t="s">
        <v>587</v>
      </c>
      <c r="CA18" s="251">
        <v>8.9629999999999992</v>
      </c>
      <c r="CB18" s="251">
        <v>7.9</v>
      </c>
      <c r="CC18" s="251">
        <v>1.22</v>
      </c>
      <c r="CD18" s="251">
        <v>0.28299999999999997</v>
      </c>
      <c r="CE18" s="257">
        <v>1</v>
      </c>
      <c r="CF18" s="253">
        <f>((PI()*CC18*CD18/4)*(CA18^2-CB18^2))*CE18</f>
        <v>4.8607608258250448</v>
      </c>
      <c r="CG18" s="254">
        <f>(((CF18/386.4)*(CA18^2+CB18^2))/8)</f>
        <v>0.22446011183460815</v>
      </c>
      <c r="CH18" s="255" t="e">
        <f ca="1">Ratio</f>
        <v>#N/A</v>
      </c>
      <c r="CI18" s="256" t="e">
        <f ca="1">(CG18/(CH18^2))</f>
        <v>#N/A</v>
      </c>
      <c r="CK18" s="250" t="s">
        <v>587</v>
      </c>
      <c r="CL18" s="251">
        <v>8.9629999999999992</v>
      </c>
      <c r="CM18" s="251">
        <v>7.9</v>
      </c>
      <c r="CN18" s="251">
        <v>1.22</v>
      </c>
      <c r="CO18" s="251">
        <v>0.28299999999999997</v>
      </c>
      <c r="CP18" s="257">
        <v>1</v>
      </c>
      <c r="CQ18" s="253">
        <f>((PI()*CN18*CO18/4)*(CL18^2-CM18^2))*CP18</f>
        <v>4.8607608258250448</v>
      </c>
      <c r="CR18" s="254">
        <f>(((CQ18/386.4)*(CL18^2+CM18^2))/8)</f>
        <v>0.22446011183460815</v>
      </c>
      <c r="CS18" s="255" t="e">
        <f ca="1">Ratio</f>
        <v>#N/A</v>
      </c>
      <c r="CT18" s="256" t="e">
        <f ca="1">(CR18/(CS18^2))</f>
        <v>#N/A</v>
      </c>
      <c r="CV18" s="250" t="s">
        <v>599</v>
      </c>
      <c r="CW18" s="251">
        <v>7.9</v>
      </c>
      <c r="CX18" s="251">
        <v>2.1875</v>
      </c>
      <c r="CY18" s="251">
        <v>0.87</v>
      </c>
      <c r="CZ18" s="251">
        <v>0.28299999999999997</v>
      </c>
      <c r="DA18" s="257">
        <v>1</v>
      </c>
      <c r="DB18" s="253">
        <f>((PI()*CY18*CZ18/4)*(CW18^2-CX18^2))*DA18</f>
        <v>11.143082099793407</v>
      </c>
      <c r="DC18" s="254">
        <f>(((DB18/386.4)*(CW18^2+CX18^2))/8)</f>
        <v>0.24222345458145575</v>
      </c>
      <c r="DD18" s="255" t="e">
        <f ca="1">Ratio</f>
        <v>#N/A</v>
      </c>
      <c r="DE18" s="256" t="e">
        <f ca="1">(DC18/(DD18^2))</f>
        <v>#N/A</v>
      </c>
      <c r="DG18" s="250" t="s">
        <v>599</v>
      </c>
      <c r="DH18" s="339">
        <v>7.9</v>
      </c>
      <c r="DI18" s="339">
        <v>2.1875</v>
      </c>
      <c r="DJ18" s="339">
        <v>0.87</v>
      </c>
      <c r="DK18" s="254">
        <v>0.28299999999999997</v>
      </c>
      <c r="DL18" s="257">
        <v>1</v>
      </c>
      <c r="DM18" s="340">
        <f>((PI()*DJ18*DK18/4)*(DH18^2-DI18^2))*DL18</f>
        <v>11.143082099793407</v>
      </c>
      <c r="DN18" s="254">
        <f>(((DM18/386.4)*(DH18^2+DI18^2))/8)</f>
        <v>0.24222345458145575</v>
      </c>
      <c r="DO18" s="255" t="e">
        <f ca="1">Ratio</f>
        <v>#N/A</v>
      </c>
      <c r="DP18" s="256" t="e">
        <f ca="1">(DN18/(DO18^2))</f>
        <v>#N/A</v>
      </c>
      <c r="DR18" s="250" t="s">
        <v>593</v>
      </c>
      <c r="DS18" s="255">
        <v>3</v>
      </c>
      <c r="DT18" s="339">
        <v>2</v>
      </c>
      <c r="DU18" s="339">
        <v>1.5</v>
      </c>
      <c r="DV18" s="251">
        <v>0.28299999999999997</v>
      </c>
      <c r="DW18" s="252">
        <v>2</v>
      </c>
      <c r="DX18" s="340">
        <f>((PI()*DU18*DV18/4)*(DS18^2-DT18^2))*DW18</f>
        <v>3.3340152036221675</v>
      </c>
      <c r="DY18" s="254">
        <f>(((DX18/386.4)*(DS18^2+DT18^2))/8)</f>
        <v>1.4021156071133597E-2</v>
      </c>
      <c r="DZ18" s="341" t="e">
        <f ca="1">Ratio</f>
        <v>#N/A</v>
      </c>
      <c r="EA18" s="256" t="e">
        <f ca="1">(DY18/(DZ18^2))</f>
        <v>#N/A</v>
      </c>
      <c r="EC18" s="250"/>
      <c r="ED18" s="255"/>
      <c r="EE18" s="339"/>
      <c r="EF18" s="339"/>
      <c r="EG18" s="251"/>
      <c r="EH18" s="252"/>
      <c r="EI18" s="340"/>
      <c r="EJ18" s="254"/>
      <c r="EK18" s="341"/>
      <c r="EL18" s="256"/>
      <c r="EN18" s="250"/>
      <c r="EO18" s="255"/>
      <c r="EP18" s="339"/>
      <c r="EQ18" s="339"/>
      <c r="ER18" s="251"/>
      <c r="ES18" s="252"/>
      <c r="ET18" s="340"/>
      <c r="EU18" s="254"/>
      <c r="EV18" s="341"/>
      <c r="EW18" s="256"/>
      <c r="EY18" s="250"/>
      <c r="EZ18" s="339"/>
      <c r="FA18" s="339"/>
      <c r="FB18" s="339"/>
      <c r="FC18" s="251"/>
      <c r="FD18" s="252"/>
      <c r="FE18" s="340"/>
      <c r="FF18" s="254"/>
      <c r="FG18" s="341"/>
      <c r="FH18" s="256"/>
      <c r="FJ18" s="250"/>
      <c r="FK18" s="339"/>
      <c r="FL18" s="339"/>
      <c r="FM18" s="339"/>
      <c r="FN18" s="251"/>
      <c r="FO18" s="252"/>
      <c r="FP18" s="340"/>
      <c r="FQ18" s="254"/>
      <c r="FR18" s="341"/>
      <c r="FS18" s="256"/>
      <c r="FU18" s="250" t="s">
        <v>596</v>
      </c>
      <c r="FV18" s="378">
        <v>6.33</v>
      </c>
      <c r="FW18" s="378">
        <v>1.75</v>
      </c>
      <c r="FX18" s="379">
        <v>2</v>
      </c>
      <c r="FY18" s="251">
        <v>0.28299999999999997</v>
      </c>
      <c r="FZ18" s="252">
        <v>2</v>
      </c>
      <c r="GA18" s="340">
        <f>((PI()*FX18*FY18/4)*(FV18^2-FW18^2))*FZ18</f>
        <v>32.9013067283529</v>
      </c>
      <c r="GB18" s="254">
        <f>(((GA18/386.4)*(FV18^2+FW18^2))/8)</f>
        <v>0.45907072367471541</v>
      </c>
      <c r="GC18" s="341" t="e">
        <f ca="1">Ratio</f>
        <v>#N/A</v>
      </c>
      <c r="GD18" s="256" t="e">
        <f ca="1">(GB18/(GC18^2))</f>
        <v>#N/A</v>
      </c>
    </row>
    <row r="19" spans="1:186" ht="15.75" x14ac:dyDescent="0.25">
      <c r="A19" s="250" t="s">
        <v>597</v>
      </c>
      <c r="B19" s="251">
        <v>3.1875</v>
      </c>
      <c r="C19" s="251">
        <v>1</v>
      </c>
      <c r="D19" s="251">
        <v>0.4375</v>
      </c>
      <c r="E19" s="251">
        <v>0.28299999999999997</v>
      </c>
      <c r="F19" s="257">
        <v>1</v>
      </c>
      <c r="G19" s="253">
        <f>((PI()*D19*E19/4)*(B19^2-C19^2))*F19</f>
        <v>0.89075292264742645</v>
      </c>
      <c r="H19" s="254">
        <f>(((G19/386.4)*(B19^2+C19^2))/8)</f>
        <v>3.2158843804637178E-3</v>
      </c>
      <c r="I19" s="255" t="e">
        <f ca="1">Ratio</f>
        <v>#N/A</v>
      </c>
      <c r="J19" s="256" t="e">
        <f ca="1">(H19/(I19^2))</f>
        <v>#N/A</v>
      </c>
      <c r="L19" s="250" t="s">
        <v>597</v>
      </c>
      <c r="M19" s="251">
        <v>3.1875</v>
      </c>
      <c r="N19" s="251">
        <v>1</v>
      </c>
      <c r="O19" s="251">
        <v>0.4375</v>
      </c>
      <c r="P19" s="251">
        <v>0.28299999999999997</v>
      </c>
      <c r="Q19" s="257">
        <v>1</v>
      </c>
      <c r="R19" s="253">
        <f>((PI()*P19*O19/4)*(M19^2-N19^2))*Q19</f>
        <v>0.89075292264742645</v>
      </c>
      <c r="S19" s="254">
        <f>(((R19/386.4)*(M19^2+N19^2))/8)</f>
        <v>3.2158843804637178E-3</v>
      </c>
      <c r="T19" s="255" t="e">
        <f ca="1">Ratio</f>
        <v>#N/A</v>
      </c>
      <c r="U19" s="256" t="e">
        <f ca="1">(S19/(T19^2))</f>
        <v>#N/A</v>
      </c>
      <c r="W19" s="250" t="s">
        <v>597</v>
      </c>
      <c r="X19" s="251">
        <v>3.1875</v>
      </c>
      <c r="Y19" s="251">
        <v>1</v>
      </c>
      <c r="Z19" s="251">
        <v>0.4375</v>
      </c>
      <c r="AA19" s="251">
        <v>0.28299999999999997</v>
      </c>
      <c r="AB19" s="257">
        <v>1</v>
      </c>
      <c r="AC19" s="253">
        <f>((PI()*Z19*AA19/4)*(X19^2-Y19^2))*AB19</f>
        <v>0.89075292264742645</v>
      </c>
      <c r="AD19" s="254">
        <f>(((AC19/386.4)*(X19^2+Y19^2))/8)</f>
        <v>3.2158843804637178E-3</v>
      </c>
      <c r="AE19" s="255" t="e">
        <f ca="1">Ratio</f>
        <v>#N/A</v>
      </c>
      <c r="AF19" s="256" t="e">
        <f ca="1">(AD19/(AE19^2))</f>
        <v>#N/A</v>
      </c>
      <c r="AH19" s="250" t="s">
        <v>597</v>
      </c>
      <c r="AI19" s="251">
        <v>3.1875</v>
      </c>
      <c r="AJ19" s="251">
        <v>1</v>
      </c>
      <c r="AK19" s="251">
        <v>0.4375</v>
      </c>
      <c r="AL19" s="251">
        <v>0.28299999999999997</v>
      </c>
      <c r="AM19" s="257">
        <v>1</v>
      </c>
      <c r="AN19" s="253">
        <f>((PI()*AK19*AL19/4)*(AI19^2-AJ19^2))*AM19</f>
        <v>0.89075292264742645</v>
      </c>
      <c r="AO19" s="254">
        <f>(((AN19/386.4)*(AI19^2+AJ19^2))/8)</f>
        <v>3.2158843804637178E-3</v>
      </c>
      <c r="AP19" s="255" t="e">
        <f ca="1">Ratio</f>
        <v>#N/A</v>
      </c>
      <c r="AQ19" s="256" t="e">
        <f ca="1">(AO19/(AP19^2))</f>
        <v>#N/A</v>
      </c>
      <c r="AS19" s="250" t="s">
        <v>598</v>
      </c>
      <c r="AT19" s="251">
        <v>7.9</v>
      </c>
      <c r="AU19" s="251">
        <v>2.1880000000000002</v>
      </c>
      <c r="AV19" s="251">
        <v>0.87</v>
      </c>
      <c r="AW19" s="251">
        <v>0.28299999999999997</v>
      </c>
      <c r="AX19" s="257">
        <v>1</v>
      </c>
      <c r="AY19" s="253">
        <f>((PI()*AV19*AW19/4)*(AT19^2-AU19^2))*AX19</f>
        <v>11.142659048271227</v>
      </c>
      <c r="AZ19" s="254">
        <f>(((AY19/386.4)*(AT19^2+AU19^2))/8)</f>
        <v>0.2422221445203786</v>
      </c>
      <c r="BA19" s="251" t="e">
        <f ca="1">Ratio</f>
        <v>#N/A</v>
      </c>
      <c r="BB19" s="256" t="e">
        <f ca="1">(AZ19/(BA19^2))</f>
        <v>#N/A</v>
      </c>
      <c r="BD19" s="250" t="s">
        <v>599</v>
      </c>
      <c r="BE19" s="251">
        <v>7.9</v>
      </c>
      <c r="BF19" s="251">
        <v>2.1880000000000002</v>
      </c>
      <c r="BG19" s="251">
        <v>0.87</v>
      </c>
      <c r="BH19" s="251">
        <v>0.28299999999999997</v>
      </c>
      <c r="BI19" s="257">
        <v>1</v>
      </c>
      <c r="BJ19" s="253">
        <f>((PI()*BG19*BH19/4)*(BE19^2-BF19^2))*BI19</f>
        <v>11.142659048271227</v>
      </c>
      <c r="BK19" s="254">
        <f>(((BJ19/386.4)*(BE19^2+BF19^2))/8)</f>
        <v>0.2422221445203786</v>
      </c>
      <c r="BL19" s="251" t="e">
        <f ca="1">Ratio</f>
        <v>#N/A</v>
      </c>
      <c r="BM19" s="256" t="e">
        <f ca="1">(BK19/(BL19^2))</f>
        <v>#N/A</v>
      </c>
      <c r="BO19" s="250" t="s">
        <v>598</v>
      </c>
      <c r="BP19" s="251">
        <v>7.9</v>
      </c>
      <c r="BQ19" s="251">
        <v>2.1880000000000002</v>
      </c>
      <c r="BR19" s="251">
        <v>0.87</v>
      </c>
      <c r="BS19" s="251">
        <v>0.28299999999999997</v>
      </c>
      <c r="BT19" s="257">
        <v>1</v>
      </c>
      <c r="BU19" s="253">
        <f>((PI()*BR19*BS19/4)*(BP19^2-BQ19^2))*BT19</f>
        <v>11.142659048271227</v>
      </c>
      <c r="BV19" s="254">
        <f>(((BU19/386.4)*(BP19^2+BQ19^2))/8)</f>
        <v>0.2422221445203786</v>
      </c>
      <c r="BW19" s="255" t="e">
        <f ca="1">Ratio</f>
        <v>#N/A</v>
      </c>
      <c r="BX19" s="256" t="e">
        <f ca="1">(BV19/(BW19^2))</f>
        <v>#N/A</v>
      </c>
      <c r="BZ19" s="250" t="s">
        <v>599</v>
      </c>
      <c r="CA19" s="251">
        <v>7.9</v>
      </c>
      <c r="CB19" s="251">
        <v>2.1875</v>
      </c>
      <c r="CC19" s="251">
        <v>0.87</v>
      </c>
      <c r="CD19" s="251">
        <v>0.28299999999999997</v>
      </c>
      <c r="CE19" s="257">
        <v>1</v>
      </c>
      <c r="CF19" s="253">
        <f>((PI()*CC19*CD19/4)*(CA19^2-CB19^2))*CE19</f>
        <v>11.143082099793407</v>
      </c>
      <c r="CG19" s="254">
        <f>(((CF19/386.4)*(CA19^2+CB19^2))/8)</f>
        <v>0.24222345458145575</v>
      </c>
      <c r="CH19" s="255" t="e">
        <f ca="1">Ratio</f>
        <v>#N/A</v>
      </c>
      <c r="CI19" s="256" t="e">
        <f ca="1">(CG19/(CH19^2))</f>
        <v>#N/A</v>
      </c>
      <c r="CK19" s="250" t="s">
        <v>598</v>
      </c>
      <c r="CL19" s="251">
        <v>7.9</v>
      </c>
      <c r="CM19" s="251">
        <v>2.1875</v>
      </c>
      <c r="CN19" s="251">
        <v>0.87</v>
      </c>
      <c r="CO19" s="251">
        <v>0.28299999999999997</v>
      </c>
      <c r="CP19" s="257">
        <v>1</v>
      </c>
      <c r="CQ19" s="253">
        <f>((PI()*CN19*CO19/4)*(CL19^2-CM19^2))*CP19</f>
        <v>11.143082099793407</v>
      </c>
      <c r="CR19" s="254">
        <f>(((CQ19/386.4)*(CL19^2+CM19^2))/8)</f>
        <v>0.24222345458145575</v>
      </c>
      <c r="CS19" s="255" t="e">
        <f ca="1">Ratio</f>
        <v>#N/A</v>
      </c>
      <c r="CT19" s="256" t="e">
        <f ca="1">(CR19/(CS19^2))</f>
        <v>#N/A</v>
      </c>
      <c r="CV19" s="250"/>
      <c r="CW19" s="251"/>
      <c r="CX19" s="251"/>
      <c r="CY19" s="251"/>
      <c r="CZ19" s="251"/>
      <c r="DA19" s="257"/>
      <c r="DB19" s="253"/>
      <c r="DC19" s="254"/>
      <c r="DD19" s="255"/>
      <c r="DE19" s="256"/>
      <c r="DG19" s="250"/>
      <c r="DH19" s="339"/>
      <c r="DI19" s="339"/>
      <c r="DJ19" s="339"/>
      <c r="DK19" s="254"/>
      <c r="DL19" s="245"/>
      <c r="DM19" s="340"/>
      <c r="DN19" s="254"/>
      <c r="DO19" s="255"/>
      <c r="DP19" s="256"/>
      <c r="DR19" s="250"/>
      <c r="DS19" s="257"/>
      <c r="DT19" s="339"/>
      <c r="DU19" s="339"/>
      <c r="DV19" s="251"/>
      <c r="DW19" s="252"/>
      <c r="DX19" s="340"/>
      <c r="DY19" s="254"/>
      <c r="DZ19" s="341"/>
      <c r="EA19" s="256"/>
      <c r="EC19" s="250" t="s">
        <v>601</v>
      </c>
      <c r="ED19" s="255">
        <v>5.33</v>
      </c>
      <c r="EE19" s="339">
        <v>1.75</v>
      </c>
      <c r="EF19" s="339">
        <v>2</v>
      </c>
      <c r="EG19" s="251">
        <v>0.28299999999999997</v>
      </c>
      <c r="EH19" s="252">
        <v>2</v>
      </c>
      <c r="EI19" s="340">
        <f>((PI()*EF19*EG19/4)*(ED19^2-EE19^2))*EH19</f>
        <v>22.534742121890375</v>
      </c>
      <c r="EJ19" s="254">
        <f>(((EI19/386.4)*(ED19^2+EE19^2))/8)</f>
        <v>0.22942542805863766</v>
      </c>
      <c r="EK19" s="341" t="e">
        <f ca="1">Ratio</f>
        <v>#N/A</v>
      </c>
      <c r="EL19" s="256" t="e">
        <f ca="1">(EJ19/(EK19^2))</f>
        <v>#N/A</v>
      </c>
      <c r="EN19" s="250" t="s">
        <v>601</v>
      </c>
      <c r="EO19" s="255">
        <v>5.33</v>
      </c>
      <c r="EP19" s="339">
        <v>1.75</v>
      </c>
      <c r="EQ19" s="339">
        <v>2</v>
      </c>
      <c r="ER19" s="251">
        <v>0.28299999999999997</v>
      </c>
      <c r="ES19" s="252">
        <v>2</v>
      </c>
      <c r="ET19" s="340">
        <f>((PI()*EQ19*ER19/4)*(EO19^2-EP19^2))*ES19</f>
        <v>22.534742121890375</v>
      </c>
      <c r="EU19" s="254">
        <f>(((ET19/386.4)*(EO19^2+EP19^2))/8)</f>
        <v>0.22942542805863766</v>
      </c>
      <c r="EV19" s="341" t="e">
        <f ca="1">Ratio</f>
        <v>#N/A</v>
      </c>
      <c r="EW19" s="256" t="e">
        <f ca="1">(EU19/(EV19^2))</f>
        <v>#N/A</v>
      </c>
      <c r="EY19" s="250" t="s">
        <v>603</v>
      </c>
      <c r="EZ19" s="339">
        <v>6.33</v>
      </c>
      <c r="FA19" s="339">
        <v>1.75</v>
      </c>
      <c r="FB19" s="339">
        <v>1.75</v>
      </c>
      <c r="FC19" s="251">
        <v>0.28299999999999997</v>
      </c>
      <c r="FD19" s="252">
        <v>2</v>
      </c>
      <c r="FE19" s="340">
        <f>((PI()*FB19*FC19/4)*(EZ19^2-FA19^2))*FD19</f>
        <v>28.788643387308788</v>
      </c>
      <c r="FF19" s="254">
        <f>(((FE19/386.4)*(EZ19^2+FA19^2))/8)</f>
        <v>0.40168688321537599</v>
      </c>
      <c r="FG19" s="341" t="e">
        <f ca="1">Ratio</f>
        <v>#N/A</v>
      </c>
      <c r="FH19" s="256" t="e">
        <f ca="1">(FF19/(FG19^2))</f>
        <v>#N/A</v>
      </c>
      <c r="FJ19" s="250" t="s">
        <v>603</v>
      </c>
      <c r="FK19" s="339">
        <v>6.33</v>
      </c>
      <c r="FL19" s="339">
        <v>1.75</v>
      </c>
      <c r="FM19" s="339">
        <v>1.75</v>
      </c>
      <c r="FN19" s="251">
        <v>0.28299999999999997</v>
      </c>
      <c r="FO19" s="252">
        <v>2</v>
      </c>
      <c r="FP19" s="340">
        <f>((PI()*FM19*FN19/4)*(FK19^2-FL19^2))*FO19</f>
        <v>28.788643387308788</v>
      </c>
      <c r="FQ19" s="254">
        <f>(((FP19/386.4)*(FK19^2+FL19^2))/8)</f>
        <v>0.40168688321537599</v>
      </c>
      <c r="FR19" s="341" t="e">
        <f ca="1">Ratio</f>
        <v>#N/A</v>
      </c>
      <c r="FS19" s="256" t="e">
        <f ca="1">(FQ19/(FR19^2))</f>
        <v>#N/A</v>
      </c>
      <c r="FU19" s="250" t="s">
        <v>593</v>
      </c>
      <c r="FV19" s="378">
        <v>3.375</v>
      </c>
      <c r="FW19" s="378">
        <v>1.75</v>
      </c>
      <c r="FX19" s="379">
        <v>1.5</v>
      </c>
      <c r="FY19" s="251">
        <v>0.28299999999999997</v>
      </c>
      <c r="FZ19" s="252">
        <v>2</v>
      </c>
      <c r="GA19" s="340">
        <f>((PI()*FX19*FY19/4)*(FV19^2-FW19^2))*FZ19</f>
        <v>5.5532190735331728</v>
      </c>
      <c r="GB19" s="254">
        <f>(((GA19/386.4)*(FV19^2+FW19^2))/8)</f>
        <v>2.5964469921764734E-2</v>
      </c>
      <c r="GC19" s="341" t="e">
        <f ca="1">Ratio</f>
        <v>#N/A</v>
      </c>
      <c r="GD19" s="256" t="e">
        <f ca="1">(GB19/(GC19^2))</f>
        <v>#N/A</v>
      </c>
    </row>
    <row r="20" spans="1:186" ht="15.75" x14ac:dyDescent="0.25">
      <c r="A20" s="250" t="s">
        <v>602</v>
      </c>
      <c r="B20" s="251">
        <v>2.1875</v>
      </c>
      <c r="C20" s="251">
        <v>1</v>
      </c>
      <c r="D20" s="251">
        <v>0.875</v>
      </c>
      <c r="E20" s="251">
        <v>0.28299999999999997</v>
      </c>
      <c r="F20" s="257">
        <v>1</v>
      </c>
      <c r="G20" s="253">
        <f>((PI()*D20*E20/4)*(B20^2-C20^2))*F20</f>
        <v>0.73615316165915246</v>
      </c>
      <c r="H20" s="254">
        <f>(((G20/386.4)*(B20^2+C20^2))/8)</f>
        <v>1.3777047955906142E-3</v>
      </c>
      <c r="I20" s="255" t="e">
        <f ca="1">Ratio</f>
        <v>#N/A</v>
      </c>
      <c r="J20" s="256" t="e">
        <f ca="1">(H20/(I20^2))</f>
        <v>#N/A</v>
      </c>
      <c r="L20" s="250" t="s">
        <v>602</v>
      </c>
      <c r="M20" s="251">
        <v>2.1875</v>
      </c>
      <c r="N20" s="251">
        <v>1</v>
      </c>
      <c r="O20" s="251">
        <v>0.875</v>
      </c>
      <c r="P20" s="251">
        <v>0.28299999999999997</v>
      </c>
      <c r="Q20" s="257">
        <v>1</v>
      </c>
      <c r="R20" s="253">
        <f>((PI()*P20*O20/4)*(M20^2-N20^2))*Q20</f>
        <v>0.73615316165915246</v>
      </c>
      <c r="S20" s="254">
        <f>(((R20/386.4)*(M20^2+N20^2))/8)</f>
        <v>1.3777047955906142E-3</v>
      </c>
      <c r="T20" s="255" t="e">
        <f ca="1">Ratio</f>
        <v>#N/A</v>
      </c>
      <c r="U20" s="256" t="e">
        <f ca="1">(S20/(T20^2))</f>
        <v>#N/A</v>
      </c>
      <c r="W20" s="250" t="s">
        <v>602</v>
      </c>
      <c r="X20" s="251">
        <v>2.1875</v>
      </c>
      <c r="Y20" s="251">
        <v>1</v>
      </c>
      <c r="Z20" s="251">
        <v>0.875</v>
      </c>
      <c r="AA20" s="251">
        <v>0.28299999999999997</v>
      </c>
      <c r="AB20" s="257">
        <v>1</v>
      </c>
      <c r="AC20" s="253">
        <f>((PI()*Z20*AA20/4)*(X20^2-Y20^2))*AB20</f>
        <v>0.73615316165915246</v>
      </c>
      <c r="AD20" s="254">
        <f>(((AC20/386.4)*(X20^2+Y20^2))/8)</f>
        <v>1.3777047955906142E-3</v>
      </c>
      <c r="AE20" s="255" t="e">
        <f ca="1">Ratio</f>
        <v>#N/A</v>
      </c>
      <c r="AF20" s="256" t="e">
        <f ca="1">(AD20/(AE20^2))</f>
        <v>#N/A</v>
      </c>
      <c r="AH20" s="250" t="s">
        <v>602</v>
      </c>
      <c r="AI20" s="251">
        <v>2.1875</v>
      </c>
      <c r="AJ20" s="251">
        <v>1</v>
      </c>
      <c r="AK20" s="251">
        <v>0.875</v>
      </c>
      <c r="AL20" s="251">
        <v>0.28299999999999997</v>
      </c>
      <c r="AM20" s="257">
        <v>1</v>
      </c>
      <c r="AN20" s="253">
        <f>((PI()*AK20*AL20/4)*(AI20^2-AJ20^2))*AM20</f>
        <v>0.73615316165915246</v>
      </c>
      <c r="AO20" s="254">
        <f>(((AN20/386.4)*(AI20^2+AJ20^2))/8)</f>
        <v>1.3777047955906142E-3</v>
      </c>
      <c r="AP20" s="255" t="e">
        <f ca="1">Ratio</f>
        <v>#N/A</v>
      </c>
      <c r="AQ20" s="256" t="e">
        <f ca="1">(AO20/(AP20^2))</f>
        <v>#N/A</v>
      </c>
      <c r="AS20" s="250"/>
      <c r="AT20" s="251"/>
      <c r="AU20" s="251"/>
      <c r="AV20" s="251"/>
      <c r="AW20" s="251"/>
      <c r="AX20" s="245"/>
      <c r="AY20" s="253"/>
      <c r="AZ20" s="254"/>
      <c r="BA20" s="251"/>
      <c r="BB20" s="256"/>
      <c r="BD20" s="250"/>
      <c r="BE20" s="251"/>
      <c r="BF20" s="251"/>
      <c r="BG20" s="251"/>
      <c r="BH20" s="251"/>
      <c r="BI20" s="245"/>
      <c r="BJ20" s="253"/>
      <c r="BK20" s="254"/>
      <c r="BL20" s="251"/>
      <c r="BM20" s="245"/>
      <c r="BO20" s="250"/>
      <c r="BP20" s="251"/>
      <c r="BQ20" s="251"/>
      <c r="BR20" s="251"/>
      <c r="BS20" s="251"/>
      <c r="BT20" s="257"/>
      <c r="BU20" s="344"/>
      <c r="BV20" s="254"/>
      <c r="BW20" s="255"/>
      <c r="BX20" s="256"/>
      <c r="BZ20" s="250"/>
      <c r="CA20" s="251"/>
      <c r="CB20" s="251"/>
      <c r="CC20" s="251"/>
      <c r="CD20" s="251"/>
      <c r="CE20" s="257"/>
      <c r="CF20" s="344"/>
      <c r="CG20" s="254"/>
      <c r="CH20" s="255"/>
      <c r="CI20" s="256"/>
      <c r="CK20" s="250"/>
      <c r="CL20" s="251"/>
      <c r="CM20" s="251"/>
      <c r="CN20" s="251"/>
      <c r="CO20" s="251"/>
      <c r="CP20" s="245"/>
      <c r="CQ20" s="253"/>
      <c r="CR20" s="254"/>
      <c r="CS20" s="245"/>
      <c r="CT20" s="245"/>
      <c r="CV20" s="250" t="s">
        <v>597</v>
      </c>
      <c r="CW20" s="251">
        <v>3.1875</v>
      </c>
      <c r="CX20" s="251">
        <v>1.875</v>
      </c>
      <c r="CY20" s="251">
        <v>0.4375</v>
      </c>
      <c r="CZ20" s="251">
        <v>0.28299999999999997</v>
      </c>
      <c r="DA20" s="257">
        <v>1</v>
      </c>
      <c r="DB20" s="253">
        <f>((PI()*CY20*CZ20/4)*(CW20^2-CX20^2))*DA20</f>
        <v>0.64612823941290931</v>
      </c>
      <c r="DC20" s="254">
        <f>(((DB20/386.4)*(CW20^2+CX20^2))/8)</f>
        <v>2.8585366400293013E-3</v>
      </c>
      <c r="DD20" s="255" t="e">
        <f ca="1">Ratio</f>
        <v>#N/A</v>
      </c>
      <c r="DE20" s="256" t="e">
        <f ca="1">(DC20/(DD20^2))</f>
        <v>#N/A</v>
      </c>
      <c r="DG20" s="250" t="s">
        <v>597</v>
      </c>
      <c r="DH20" s="339">
        <v>3.1875</v>
      </c>
      <c r="DI20" s="339">
        <v>1.875</v>
      </c>
      <c r="DJ20" s="339">
        <v>0.4375</v>
      </c>
      <c r="DK20" s="254">
        <v>0.28299999999999997</v>
      </c>
      <c r="DL20" s="257">
        <v>1</v>
      </c>
      <c r="DM20" s="340">
        <f>((PI()*DJ20*DK20/4)*(DH20^2-DI20^2))*DL20</f>
        <v>0.64612823941290931</v>
      </c>
      <c r="DN20" s="254">
        <f>(((DM20/386.4)*(DH20^2+DI20^2))/8)</f>
        <v>2.8585366400293013E-3</v>
      </c>
      <c r="DO20" s="255" t="e">
        <f ca="1">Ratio</f>
        <v>#N/A</v>
      </c>
      <c r="DP20" s="256" t="e">
        <f ca="1">(DN20/(DO20^2))</f>
        <v>#N/A</v>
      </c>
      <c r="DR20" s="250" t="s">
        <v>587</v>
      </c>
      <c r="DS20" s="251">
        <v>14.382999999999999</v>
      </c>
      <c r="DT20" s="251">
        <v>13.2</v>
      </c>
      <c r="DU20" s="251">
        <v>2.38</v>
      </c>
      <c r="DV20" s="251">
        <v>0.28299999999999997</v>
      </c>
      <c r="DW20" s="252">
        <v>1</v>
      </c>
      <c r="DX20" s="340">
        <f>((PI()*DU20*DV20/4)*(DS20^2-DT20^2))*DW20</f>
        <v>17.261539165932433</v>
      </c>
      <c r="DY20" s="254">
        <f>(((DX20/386.4)*(DS20^2+DT20^2))/8)</f>
        <v>2.1281564068093277</v>
      </c>
      <c r="DZ20" s="341" t="e">
        <f ca="1">Ratio</f>
        <v>#N/A</v>
      </c>
      <c r="EA20" s="256" t="e">
        <f ca="1">(DY20/(DZ20^2))</f>
        <v>#N/A</v>
      </c>
      <c r="EC20" s="250" t="s">
        <v>593</v>
      </c>
      <c r="ED20" s="255">
        <v>3.125</v>
      </c>
      <c r="EE20" s="339">
        <v>1.75</v>
      </c>
      <c r="EF20" s="339">
        <v>2</v>
      </c>
      <c r="EG20" s="251">
        <v>0.28299999999999997</v>
      </c>
      <c r="EH20" s="252">
        <v>2</v>
      </c>
      <c r="EI20" s="340">
        <f>((PI()*EF20*EG20/4)*(ED20^2-EE20^2))*EH20</f>
        <v>5.9595521764746247</v>
      </c>
      <c r="EJ20" s="254">
        <f>(((EI20/386.4)*(ED20^2+EE20^2))/8)</f>
        <v>2.4731457124688973E-2</v>
      </c>
      <c r="EK20" s="341" t="e">
        <f ca="1">Ratio</f>
        <v>#N/A</v>
      </c>
      <c r="EL20" s="256" t="e">
        <f ca="1">(EJ20/(EK20^2))</f>
        <v>#N/A</v>
      </c>
      <c r="EN20" s="250" t="s">
        <v>593</v>
      </c>
      <c r="EO20" s="255">
        <v>3.125</v>
      </c>
      <c r="EP20" s="339">
        <v>1.75</v>
      </c>
      <c r="EQ20" s="339">
        <v>2</v>
      </c>
      <c r="ER20" s="251">
        <v>0.28299999999999997</v>
      </c>
      <c r="ES20" s="252">
        <v>2</v>
      </c>
      <c r="ET20" s="340">
        <f>((PI()*EQ20*ER20/4)*(EO20^2-EP20^2))*ES20</f>
        <v>5.9595521764746247</v>
      </c>
      <c r="EU20" s="254">
        <f>(((ET20/386.4)*(EO20^2+EP20^2))/8)</f>
        <v>2.4731457124688973E-2</v>
      </c>
      <c r="EV20" s="341" t="e">
        <f ca="1">Ratio</f>
        <v>#N/A</v>
      </c>
      <c r="EW20" s="256" t="e">
        <f ca="1">(EU20/(EV20^2))</f>
        <v>#N/A</v>
      </c>
      <c r="EY20" s="250" t="s">
        <v>593</v>
      </c>
      <c r="EZ20" s="339">
        <v>3.38</v>
      </c>
      <c r="FA20" s="339">
        <v>1.75</v>
      </c>
      <c r="FB20" s="339">
        <v>1.75</v>
      </c>
      <c r="FC20" s="251">
        <v>0.28299999999999997</v>
      </c>
      <c r="FD20" s="252">
        <v>2</v>
      </c>
      <c r="FE20" s="340">
        <f>((PI()*FB20*FC20/4)*(EZ20^2-FA20^2))*FD20</f>
        <v>6.5050304039392461</v>
      </c>
      <c r="FF20" s="254">
        <f>(((FE20/386.4)*(EZ20^2+FA20^2))/8)</f>
        <v>3.0485806469599981E-2</v>
      </c>
      <c r="FG20" s="341" t="e">
        <f ca="1">Ratio</f>
        <v>#N/A</v>
      </c>
      <c r="FH20" s="256" t="e">
        <f ca="1">(FF20/(FG20^2))</f>
        <v>#N/A</v>
      </c>
      <c r="FJ20" s="250" t="s">
        <v>593</v>
      </c>
      <c r="FK20" s="339">
        <v>3.38</v>
      </c>
      <c r="FL20" s="339">
        <v>1.75</v>
      </c>
      <c r="FM20" s="339">
        <v>1.75</v>
      </c>
      <c r="FN20" s="251">
        <v>0.28299999999999997</v>
      </c>
      <c r="FO20" s="252">
        <v>2</v>
      </c>
      <c r="FP20" s="340">
        <f>((PI()*FM20*FN20/4)*(FK20^2-FL20^2))*FO20</f>
        <v>6.5050304039392461</v>
      </c>
      <c r="FQ20" s="254">
        <f>(((FP20/386.4)*(FK20^2+FL20^2))/8)</f>
        <v>3.0485806469599981E-2</v>
      </c>
      <c r="FR20" s="341" t="e">
        <f ca="1">Ratio</f>
        <v>#N/A</v>
      </c>
      <c r="FS20" s="256" t="e">
        <f ca="1">(FQ20/(FR20^2))</f>
        <v>#N/A</v>
      </c>
      <c r="FU20" s="250"/>
      <c r="FV20" s="378"/>
      <c r="FW20" s="378"/>
      <c r="FX20" s="380"/>
      <c r="FY20" s="251"/>
      <c r="FZ20" s="252"/>
      <c r="GA20" s="340"/>
      <c r="GB20" s="254"/>
      <c r="GC20" s="341"/>
      <c r="GD20" s="256"/>
    </row>
    <row r="21" spans="1:186" ht="15.75" x14ac:dyDescent="0.25">
      <c r="A21" s="250"/>
      <c r="B21" s="251"/>
      <c r="C21" s="251"/>
      <c r="D21" s="251"/>
      <c r="E21" s="251"/>
      <c r="F21" s="245"/>
      <c r="G21" s="253"/>
      <c r="H21" s="254"/>
      <c r="I21" s="245"/>
      <c r="J21" s="256"/>
      <c r="L21" s="250"/>
      <c r="M21" s="251"/>
      <c r="N21" s="251"/>
      <c r="O21" s="251"/>
      <c r="P21" s="251"/>
      <c r="Q21" s="245"/>
      <c r="R21" s="253"/>
      <c r="S21" s="254"/>
      <c r="T21" s="245"/>
      <c r="U21" s="256"/>
      <c r="W21" s="250"/>
      <c r="X21" s="251"/>
      <c r="Y21" s="251"/>
      <c r="Z21" s="251"/>
      <c r="AA21" s="251"/>
      <c r="AB21" s="245"/>
      <c r="AC21" s="253"/>
      <c r="AD21" s="254"/>
      <c r="AE21" s="245"/>
      <c r="AF21" s="256"/>
      <c r="AH21" s="250"/>
      <c r="AI21" s="251"/>
      <c r="AJ21" s="251"/>
      <c r="AK21" s="251"/>
      <c r="AL21" s="251"/>
      <c r="AM21" s="245"/>
      <c r="AN21" s="253"/>
      <c r="AO21" s="254"/>
      <c r="AP21" s="245"/>
      <c r="AQ21" s="245"/>
      <c r="AS21" s="250" t="s">
        <v>597</v>
      </c>
      <c r="AT21" s="251">
        <v>3.1880000000000002</v>
      </c>
      <c r="AU21" s="251">
        <v>1.25</v>
      </c>
      <c r="AV21" s="251">
        <v>0.438</v>
      </c>
      <c r="AW21" s="251">
        <v>0.28299999999999997</v>
      </c>
      <c r="AX21" s="257">
        <v>1</v>
      </c>
      <c r="AY21" s="253">
        <f>((PI()*AV21*AW21/4)*(AT21^2-AU21^2))*AX21</f>
        <v>0.83732006407148896</v>
      </c>
      <c r="AZ21" s="254">
        <f>(((AY21/386.4)*(AT21^2+AU21^2))/8)</f>
        <v>3.1762048555163971E-3</v>
      </c>
      <c r="BA21" s="251" t="e">
        <f ca="1">Ratio</f>
        <v>#N/A</v>
      </c>
      <c r="BB21" s="256" t="e">
        <f ca="1">(AZ21/(BA21^2))</f>
        <v>#N/A</v>
      </c>
      <c r="BD21" s="250" t="s">
        <v>597</v>
      </c>
      <c r="BE21" s="251">
        <v>3.1880000000000002</v>
      </c>
      <c r="BF21" s="251">
        <v>1.25</v>
      </c>
      <c r="BG21" s="251">
        <v>0.438</v>
      </c>
      <c r="BH21" s="251">
        <v>0.28299999999999997</v>
      </c>
      <c r="BI21" s="257">
        <v>1</v>
      </c>
      <c r="BJ21" s="253">
        <f>((PI()*BG21*BH21/4)*(BE21^2-BF21^2))*BI21</f>
        <v>0.83732006407148896</v>
      </c>
      <c r="BK21" s="254">
        <f>(((BJ21/386.4)*(BE21^2+BF21^2))/8)</f>
        <v>3.1762048555163971E-3</v>
      </c>
      <c r="BL21" s="251" t="e">
        <f ca="1">Ratio</f>
        <v>#N/A</v>
      </c>
      <c r="BM21" s="256" t="e">
        <f ca="1">(BK21/(BL21^2))</f>
        <v>#N/A</v>
      </c>
      <c r="BO21" s="250" t="s">
        <v>597</v>
      </c>
      <c r="BP21" s="251">
        <v>3.1880000000000002</v>
      </c>
      <c r="BQ21" s="251">
        <v>1.25</v>
      </c>
      <c r="BR21" s="251">
        <v>0.438</v>
      </c>
      <c r="BS21" s="251">
        <v>0.28299999999999997</v>
      </c>
      <c r="BT21" s="257">
        <v>1</v>
      </c>
      <c r="BU21" s="253">
        <f>((PI()*BR21*BS21/4)*(BP21^2-BQ21^2))*BT21</f>
        <v>0.83732006407148896</v>
      </c>
      <c r="BV21" s="254">
        <f>(((BU21/386.4)*(BP21^2+BQ21^2))/8)</f>
        <v>3.1762048555163971E-3</v>
      </c>
      <c r="BW21" s="255" t="e">
        <f ca="1">Ratio</f>
        <v>#N/A</v>
      </c>
      <c r="BX21" s="256" t="e">
        <f ca="1">(BV21/(BW21^2))</f>
        <v>#N/A</v>
      </c>
      <c r="BZ21" s="250" t="s">
        <v>597</v>
      </c>
      <c r="CA21" s="251">
        <v>3.1875</v>
      </c>
      <c r="CB21" s="251">
        <v>1.875</v>
      </c>
      <c r="CC21" s="251">
        <v>0.438</v>
      </c>
      <c r="CD21" s="251">
        <v>0.28299999999999997</v>
      </c>
      <c r="CE21" s="257">
        <v>1</v>
      </c>
      <c r="CF21" s="253">
        <f>((PI()*CC21*CD21/4)*(CA21^2-CB21^2))*CE21</f>
        <v>0.64686667168652401</v>
      </c>
      <c r="CG21" s="254">
        <f>(((CF21/386.4)*(CA21^2+CB21^2))/8)</f>
        <v>2.8618035390464776E-3</v>
      </c>
      <c r="CH21" s="255" t="e">
        <f ca="1">Ratio</f>
        <v>#N/A</v>
      </c>
      <c r="CI21" s="256" t="e">
        <f ca="1">(CG21/(CH21^2))</f>
        <v>#N/A</v>
      </c>
      <c r="CK21" s="250" t="s">
        <v>597</v>
      </c>
      <c r="CL21" s="251">
        <v>3.1875</v>
      </c>
      <c r="CM21" s="251">
        <v>1.875</v>
      </c>
      <c r="CN21" s="251">
        <v>0.4375</v>
      </c>
      <c r="CO21" s="251">
        <v>0.28299999999999997</v>
      </c>
      <c r="CP21" s="257">
        <v>1</v>
      </c>
      <c r="CQ21" s="253">
        <f>((PI()*CN21*CO21/4)*(CL21^2-CM21^2))*CP21</f>
        <v>0.64612823941290931</v>
      </c>
      <c r="CR21" s="254">
        <f>(((CQ21/386.4)*(CL21^2+CM21^2))/8)</f>
        <v>2.8585366400293013E-3</v>
      </c>
      <c r="CS21" s="255" t="e">
        <f ca="1">Ratio</f>
        <v>#N/A</v>
      </c>
      <c r="CT21" s="256" t="e">
        <f ca="1">(CR21/(CS21^2))</f>
        <v>#N/A</v>
      </c>
      <c r="CV21" s="250" t="s">
        <v>607</v>
      </c>
      <c r="CW21" s="251">
        <v>2.1875</v>
      </c>
      <c r="CX21" s="251">
        <v>1.875</v>
      </c>
      <c r="CY21" s="251">
        <v>0.875</v>
      </c>
      <c r="CZ21" s="251">
        <v>0.28299999999999997</v>
      </c>
      <c r="DA21" s="257">
        <v>1</v>
      </c>
      <c r="DB21" s="253">
        <f>((PI()*CY21*CZ21/4)*(CW21^2-CX21^2))*DA21</f>
        <v>0.24690379519011821</v>
      </c>
      <c r="DC21" s="254">
        <f>(((DB21/386.4)*(CW21^2+CX21^2))/8)</f>
        <v>6.6300931472178237E-4</v>
      </c>
      <c r="DD21" s="255" t="e">
        <f ca="1">Ratio</f>
        <v>#N/A</v>
      </c>
      <c r="DE21" s="256" t="e">
        <f ca="1">(DC21/(DD21^2))</f>
        <v>#N/A</v>
      </c>
      <c r="DG21" s="250" t="s">
        <v>607</v>
      </c>
      <c r="DH21" s="339">
        <v>2.1875</v>
      </c>
      <c r="DI21" s="339">
        <v>1.875</v>
      </c>
      <c r="DJ21" s="339">
        <v>0.875</v>
      </c>
      <c r="DK21" s="254">
        <v>0.28299999999999997</v>
      </c>
      <c r="DL21" s="257">
        <v>1</v>
      </c>
      <c r="DM21" s="340">
        <f>((PI()*DJ21*DK21/4)*(DH21^2-DI21^2))*DL21</f>
        <v>0.24690379519011821</v>
      </c>
      <c r="DN21" s="254">
        <f>(((DM21/386.4)*(DH21^2+DI21^2))/8)</f>
        <v>6.6300931472178237E-4</v>
      </c>
      <c r="DO21" s="255" t="e">
        <f ca="1">Ratio</f>
        <v>#N/A</v>
      </c>
      <c r="DP21" s="256" t="e">
        <f ca="1">(DN21/(DO21^2))</f>
        <v>#N/A</v>
      </c>
      <c r="DR21" s="250" t="s">
        <v>608</v>
      </c>
      <c r="DS21" s="251">
        <v>13.2</v>
      </c>
      <c r="DT21" s="251">
        <v>3.8340000000000001</v>
      </c>
      <c r="DU21" s="251">
        <v>2.375</v>
      </c>
      <c r="DV21" s="251">
        <v>0.28299999999999997</v>
      </c>
      <c r="DW21" s="252">
        <v>1</v>
      </c>
      <c r="DX21" s="340">
        <f>((PI()*DU21*DV21/4)*(DS21^2-DT21^2))*DW21</f>
        <v>84.219125432366567</v>
      </c>
      <c r="DY21" s="254">
        <f>(((DX21/386.4)*(DS21^2+DT21^2))/8)</f>
        <v>5.1476203952832709</v>
      </c>
      <c r="DZ21" s="341" t="e">
        <f ca="1">Ratio</f>
        <v>#N/A</v>
      </c>
      <c r="EA21" s="256" t="e">
        <f ca="1">(DY21/(DZ21^2))</f>
        <v>#N/A</v>
      </c>
      <c r="EC21" s="250"/>
      <c r="ED21" s="257"/>
      <c r="EE21" s="339"/>
      <c r="EF21" s="339"/>
      <c r="EG21" s="251"/>
      <c r="EH21" s="252"/>
      <c r="EI21" s="340"/>
      <c r="EJ21" s="254"/>
      <c r="EK21" s="341"/>
      <c r="EL21" s="256"/>
      <c r="EN21" s="250"/>
      <c r="EO21" s="257"/>
      <c r="EP21" s="339"/>
      <c r="EQ21" s="339"/>
      <c r="ER21" s="251"/>
      <c r="ES21" s="252"/>
      <c r="ET21" s="340"/>
      <c r="EU21" s="254"/>
      <c r="EV21" s="341"/>
      <c r="EW21" s="256"/>
      <c r="EY21" s="250"/>
      <c r="EZ21" s="339"/>
      <c r="FA21" s="339"/>
      <c r="FB21" s="339"/>
      <c r="FC21" s="251"/>
      <c r="FD21" s="252"/>
      <c r="FE21" s="340"/>
      <c r="FF21" s="254"/>
      <c r="FG21" s="341"/>
      <c r="FH21" s="256"/>
      <c r="FJ21" s="250"/>
      <c r="FK21" s="339"/>
      <c r="FL21" s="339"/>
      <c r="FM21" s="339"/>
      <c r="FN21" s="251"/>
      <c r="FO21" s="252"/>
      <c r="FP21" s="340"/>
      <c r="FQ21" s="254"/>
      <c r="FR21" s="341"/>
      <c r="FS21" s="256"/>
      <c r="FU21" s="250" t="s">
        <v>604</v>
      </c>
      <c r="FV21" s="378">
        <v>6.33</v>
      </c>
      <c r="FW21" s="378">
        <v>1.75</v>
      </c>
      <c r="FX21" s="379">
        <v>2</v>
      </c>
      <c r="FY21" s="251">
        <v>0.28299999999999997</v>
      </c>
      <c r="FZ21" s="252">
        <v>2</v>
      </c>
      <c r="GA21" s="340">
        <f>((PI()*FX21*FY21/4)*(FV21^2-FW21^2))*FZ21</f>
        <v>32.9013067283529</v>
      </c>
      <c r="GB21" s="254">
        <f>(((GA21/386.4)*(FV21^2+FW21^2))/8)</f>
        <v>0.45907072367471541</v>
      </c>
      <c r="GC21" s="341" t="e">
        <f ca="1">(FV14/FV15)*Ratio</f>
        <v>#N/A</v>
      </c>
      <c r="GD21" s="256" t="e">
        <f ca="1">(GB21/(GC21^2))</f>
        <v>#N/A</v>
      </c>
    </row>
    <row r="22" spans="1:186" ht="15.75" x14ac:dyDescent="0.25">
      <c r="A22" s="250" t="s">
        <v>605</v>
      </c>
      <c r="B22" s="251">
        <v>1.831</v>
      </c>
      <c r="C22" s="251">
        <v>0.94499999999999995</v>
      </c>
      <c r="D22" s="251">
        <v>1.28</v>
      </c>
      <c r="E22" s="251">
        <v>0.28299999999999997</v>
      </c>
      <c r="F22" s="257">
        <v>1</v>
      </c>
      <c r="G22" s="253">
        <f>((PI()*D22*E22/4)*(B22^2-C22^2))*F22</f>
        <v>0.69974446232371645</v>
      </c>
      <c r="H22" s="254">
        <f>(((G22/386.4)*(B22^2+C22^2))/8)</f>
        <v>9.6105890683847626E-4</v>
      </c>
      <c r="I22" s="255">
        <f>IF(I32=0,1,I32)</f>
        <v>1</v>
      </c>
      <c r="J22" s="256">
        <f>(H22/(I22^2))</f>
        <v>9.6105890683847626E-4</v>
      </c>
      <c r="L22" s="250" t="s">
        <v>605</v>
      </c>
      <c r="M22" s="251">
        <v>1.831</v>
      </c>
      <c r="N22" s="251">
        <v>0.625</v>
      </c>
      <c r="O22" s="251">
        <v>1.28</v>
      </c>
      <c r="P22" s="251">
        <v>0.28299999999999997</v>
      </c>
      <c r="Q22" s="257">
        <v>1</v>
      </c>
      <c r="R22" s="253">
        <f>((PI()*P22*O22/4)*(M22^2-N22^2))*Q22</f>
        <v>0.84267858399196405</v>
      </c>
      <c r="S22" s="254">
        <f>(((R22/386.4)*(M22^2+N22^2))/8)</f>
        <v>1.0204136510411957E-3</v>
      </c>
      <c r="T22" s="255">
        <f>IF(T32=0,1,T32)</f>
        <v>1</v>
      </c>
      <c r="U22" s="256">
        <f>(S22/(T22^2))</f>
        <v>1.0204136510411957E-3</v>
      </c>
      <c r="W22" s="250" t="s">
        <v>605</v>
      </c>
      <c r="X22" s="251">
        <v>2.319</v>
      </c>
      <c r="Y22" s="251">
        <v>0.875</v>
      </c>
      <c r="Z22" s="251">
        <v>1.28</v>
      </c>
      <c r="AA22" s="251">
        <v>0.28299999999999997</v>
      </c>
      <c r="AB22" s="257">
        <v>1</v>
      </c>
      <c r="AC22" s="253">
        <f>((PI()*Z22*AA22/4)*(X22^2-Y22^2))*AB22</f>
        <v>1.3121648251881071</v>
      </c>
      <c r="AD22" s="254">
        <f>(((AC22/386.4)*(X22^2+Y22^2))/8)</f>
        <v>2.6077688330593506E-3</v>
      </c>
      <c r="AE22" s="255">
        <f>IF(AE32=0,1,AE32)</f>
        <v>1</v>
      </c>
      <c r="AF22" s="256">
        <f>(AD22/(AE22^2))</f>
        <v>2.6077688330593506E-3</v>
      </c>
      <c r="AH22" s="250" t="s">
        <v>605</v>
      </c>
      <c r="AI22" s="251">
        <v>2.319</v>
      </c>
      <c r="AJ22" s="251">
        <v>0.875</v>
      </c>
      <c r="AK22" s="251">
        <v>1.28</v>
      </c>
      <c r="AL22" s="251">
        <v>0.28299999999999997</v>
      </c>
      <c r="AM22" s="257">
        <v>1</v>
      </c>
      <c r="AN22" s="253">
        <f>((PI()*AK22*AL22/4)*(AI22^2-AJ22^2))*AM22</f>
        <v>1.3121648251881071</v>
      </c>
      <c r="AO22" s="254">
        <f>(((AN22/386.4)*(AI22^2+AJ22^2))/8)</f>
        <v>2.6077688330593506E-3</v>
      </c>
      <c r="AP22" s="255">
        <f>IF(AP32=0,1,AP32)</f>
        <v>1</v>
      </c>
      <c r="AQ22" s="256">
        <f>(AO22/(AP22^2))</f>
        <v>2.6077688330593506E-3</v>
      </c>
      <c r="AS22" s="250" t="s">
        <v>606</v>
      </c>
      <c r="AT22" s="251">
        <v>2.1880000000000002</v>
      </c>
      <c r="AU22" s="251">
        <v>1.25</v>
      </c>
      <c r="AV22" s="251">
        <v>0.875</v>
      </c>
      <c r="AW22" s="251">
        <v>0.28299999999999997</v>
      </c>
      <c r="AX22" s="257">
        <v>1</v>
      </c>
      <c r="AY22" s="253">
        <f>((PI()*AV22*AW22/4)*(AT22^2-AU22^2))*AX22</f>
        <v>0.6271812706430675</v>
      </c>
      <c r="AZ22" s="254">
        <f>(((AY22/386.4)*(AT22^2+AU22^2))/8)</f>
        <v>1.2883356716826019E-3</v>
      </c>
      <c r="BA22" s="251" t="e">
        <f ca="1">Ratio</f>
        <v>#N/A</v>
      </c>
      <c r="BB22" s="256" t="e">
        <f ca="1">(AZ22/(BA22^2))</f>
        <v>#N/A</v>
      </c>
      <c r="BD22" s="250" t="s">
        <v>606</v>
      </c>
      <c r="BE22" s="251">
        <v>2.1880000000000002</v>
      </c>
      <c r="BF22" s="251">
        <v>1.25</v>
      </c>
      <c r="BG22" s="251">
        <v>0.875</v>
      </c>
      <c r="BH22" s="251">
        <v>0.28299999999999997</v>
      </c>
      <c r="BI22" s="257">
        <v>1</v>
      </c>
      <c r="BJ22" s="253">
        <f>((PI()*BG22*BH22/4)*(BE22^2-BF22^2))*BI22</f>
        <v>0.6271812706430675</v>
      </c>
      <c r="BK22" s="254">
        <f>(((BJ22/386.4)*(BE22^2+BF22^2))/8)</f>
        <v>1.2883356716826019E-3</v>
      </c>
      <c r="BL22" s="251" t="e">
        <f ca="1">Ratio</f>
        <v>#N/A</v>
      </c>
      <c r="BM22" s="256" t="e">
        <f ca="1">(BK22/(BL22^2))</f>
        <v>#N/A</v>
      </c>
      <c r="BO22" s="250" t="s">
        <v>607</v>
      </c>
      <c r="BP22" s="251">
        <v>2.1880000000000002</v>
      </c>
      <c r="BQ22" s="251">
        <v>1.25</v>
      </c>
      <c r="BR22" s="251">
        <v>0.875</v>
      </c>
      <c r="BS22" s="251">
        <v>0.28299999999999997</v>
      </c>
      <c r="BT22" s="257">
        <v>1</v>
      </c>
      <c r="BU22" s="253">
        <f>((PI()*BR22*BS22/4)*(BP22^2-BQ22^2))*BT22</f>
        <v>0.6271812706430675</v>
      </c>
      <c r="BV22" s="254">
        <f>(((BU22/386.4)*(BP22^2+BQ22^2))/8)</f>
        <v>1.2883356716826019E-3</v>
      </c>
      <c r="BW22" s="255" t="e">
        <f ca="1">Ratio</f>
        <v>#N/A</v>
      </c>
      <c r="BX22" s="256" t="e">
        <f ca="1">(BV22/(BW22^2))</f>
        <v>#N/A</v>
      </c>
      <c r="BZ22" s="250" t="s">
        <v>607</v>
      </c>
      <c r="CA22" s="251">
        <v>2.1875</v>
      </c>
      <c r="CB22" s="251">
        <v>1.875</v>
      </c>
      <c r="CC22" s="251">
        <v>0.875</v>
      </c>
      <c r="CD22" s="251">
        <v>0.28299999999999997</v>
      </c>
      <c r="CE22" s="257">
        <v>1</v>
      </c>
      <c r="CF22" s="253">
        <f>((PI()*CC22*CD22/4)*(CA22^2-CB22^2))*CE22</f>
        <v>0.24690379519011821</v>
      </c>
      <c r="CG22" s="254">
        <f>(((CF22/386.4)*(CA22^2+CB22^2))/8)</f>
        <v>6.6300931472178237E-4</v>
      </c>
      <c r="CH22" s="255" t="e">
        <f ca="1">Ratio</f>
        <v>#N/A</v>
      </c>
      <c r="CI22" s="256" t="e">
        <f ca="1">(CG22/(CH22^2))</f>
        <v>#N/A</v>
      </c>
      <c r="CK22" s="250" t="s">
        <v>607</v>
      </c>
      <c r="CL22" s="251">
        <v>2.1875</v>
      </c>
      <c r="CM22" s="251">
        <v>1.875</v>
      </c>
      <c r="CN22" s="251">
        <v>0.875</v>
      </c>
      <c r="CO22" s="251">
        <v>0.28299999999999997</v>
      </c>
      <c r="CP22" s="257">
        <v>1</v>
      </c>
      <c r="CQ22" s="253">
        <f>((PI()*CN22*CO22/4)*(CL22^2-CM22^2))*CP22</f>
        <v>0.24690379519011821</v>
      </c>
      <c r="CR22" s="254">
        <f>(((CQ22/386.4)*(CL22^2+CM22^2))/8)</f>
        <v>6.6300931472178237E-4</v>
      </c>
      <c r="CS22" s="255" t="e">
        <f ca="1">Ratio</f>
        <v>#N/A</v>
      </c>
      <c r="CT22" s="256" t="e">
        <f ca="1">(CR22/(CS22^2))</f>
        <v>#N/A</v>
      </c>
      <c r="CV22" s="250"/>
      <c r="CW22" s="251"/>
      <c r="CX22" s="251"/>
      <c r="CY22" s="251"/>
      <c r="CZ22" s="251"/>
      <c r="DA22" s="257"/>
      <c r="DB22" s="253"/>
      <c r="DC22" s="254"/>
      <c r="DD22" s="255"/>
      <c r="DE22" s="256"/>
      <c r="DG22" s="250"/>
      <c r="DH22" s="339"/>
      <c r="DI22" s="339"/>
      <c r="DJ22" s="339"/>
      <c r="DK22" s="254"/>
      <c r="DL22" s="245"/>
      <c r="DM22" s="340"/>
      <c r="DN22" s="254"/>
      <c r="DO22" s="255"/>
      <c r="DP22" s="256"/>
      <c r="DR22" s="250"/>
      <c r="DS22" s="341"/>
      <c r="DT22" s="341"/>
      <c r="DU22" s="342"/>
      <c r="DV22" s="251"/>
      <c r="DW22" s="252"/>
      <c r="DX22" s="340"/>
      <c r="DY22" s="254"/>
      <c r="DZ22" s="341"/>
      <c r="EA22" s="256"/>
      <c r="EC22" s="250" t="s">
        <v>587</v>
      </c>
      <c r="ED22" s="255">
        <v>8.77</v>
      </c>
      <c r="EE22" s="339">
        <v>4</v>
      </c>
      <c r="EF22" s="339">
        <v>2</v>
      </c>
      <c r="EG22" s="251">
        <v>0.28299999999999997</v>
      </c>
      <c r="EH22" s="257">
        <v>1</v>
      </c>
      <c r="EI22" s="435">
        <f>((PI()*EF22*EG22/4)*(ED22^2-EE22^2))*EH22</f>
        <v>27.077937959562227</v>
      </c>
      <c r="EJ22" s="254">
        <f>(((EI22/386.4)*(ED22^2+EE22^2))/8)</f>
        <v>0.81388772704548695</v>
      </c>
      <c r="EK22" s="255" t="e">
        <f ca="1">Ratio</f>
        <v>#N/A</v>
      </c>
      <c r="EL22" s="256" t="e">
        <f ca="1">(EJ22/(EK22^2))</f>
        <v>#N/A</v>
      </c>
      <c r="EN22" s="250" t="s">
        <v>587</v>
      </c>
      <c r="EO22" s="255">
        <v>8.77</v>
      </c>
      <c r="EP22" s="339">
        <v>4</v>
      </c>
      <c r="EQ22" s="339">
        <v>2</v>
      </c>
      <c r="ER22" s="251">
        <v>0.28299999999999997</v>
      </c>
      <c r="ES22" s="257">
        <v>1</v>
      </c>
      <c r="ET22" s="435">
        <f>((PI()*EQ22*ER22/4)*(EO22^2-EP22^2))*ES22</f>
        <v>27.077937959562227</v>
      </c>
      <c r="EU22" s="254">
        <f>(((ET22/386.4)*(EO22^2+EP22^2))/8)</f>
        <v>0.81388772704548695</v>
      </c>
      <c r="EV22" s="255" t="e">
        <f ca="1">Ratio</f>
        <v>#N/A</v>
      </c>
      <c r="EW22" s="256" t="e">
        <f ca="1">(EU22/(EV22^2))</f>
        <v>#N/A</v>
      </c>
      <c r="EY22" s="250" t="s">
        <v>587</v>
      </c>
      <c r="EZ22" s="339">
        <v>10.53</v>
      </c>
      <c r="FA22" s="339">
        <v>6</v>
      </c>
      <c r="FB22" s="339">
        <v>2</v>
      </c>
      <c r="FC22" s="254">
        <v>0.28299999999999997</v>
      </c>
      <c r="FD22" s="257">
        <v>1</v>
      </c>
      <c r="FE22" s="435">
        <f>((PI()*FB22*FC22/4)*(EZ22^2-FA22^2))*FD22</f>
        <v>33.287207874788145</v>
      </c>
      <c r="FF22" s="254">
        <f>(((FE22/386.4)*(EZ22^2+FA22^2))/8)</f>
        <v>1.5816689477018537</v>
      </c>
      <c r="FG22" s="255" t="e">
        <f ca="1">Ratio</f>
        <v>#N/A</v>
      </c>
      <c r="FH22" s="256" t="e">
        <f ca="1">(FF22/(FG22^2))</f>
        <v>#N/A</v>
      </c>
      <c r="FJ22" s="250" t="s">
        <v>587</v>
      </c>
      <c r="FK22" s="339">
        <v>10.53</v>
      </c>
      <c r="FL22" s="339">
        <v>6</v>
      </c>
      <c r="FM22" s="339">
        <v>2</v>
      </c>
      <c r="FN22" s="254">
        <v>0.28299999999999997</v>
      </c>
      <c r="FO22" s="257">
        <v>1</v>
      </c>
      <c r="FP22" s="435">
        <f>((PI()*FM22*FN22/4)*(FK22^2-FL22^2))*FO22</f>
        <v>33.287207874788145</v>
      </c>
      <c r="FQ22" s="254">
        <f>(((FP22/386.4)*(FK22^2+FL22^2))/8)</f>
        <v>1.5816689477018537</v>
      </c>
      <c r="FR22" s="255" t="e">
        <f ca="1">Ratio</f>
        <v>#N/A</v>
      </c>
      <c r="FS22" s="256" t="e">
        <f ca="1">(FQ22/(FR22^2))</f>
        <v>#N/A</v>
      </c>
      <c r="FU22" s="250" t="s">
        <v>593</v>
      </c>
      <c r="FV22" s="378">
        <v>3.38</v>
      </c>
      <c r="FW22" s="378">
        <v>1.75</v>
      </c>
      <c r="FX22" s="379">
        <v>1.5</v>
      </c>
      <c r="FY22" s="251">
        <v>0.28299999999999997</v>
      </c>
      <c r="FZ22" s="252">
        <v>2</v>
      </c>
      <c r="GA22" s="340">
        <f>((PI()*FX22*FY22/4)*(FV22^2-FW22^2))*FZ22</f>
        <v>5.5757403462336397</v>
      </c>
      <c r="GB22" s="254">
        <f>(((GA22/386.4)*(FV22^2+FW22^2))/8)</f>
        <v>2.6130691259657127E-2</v>
      </c>
      <c r="GC22" s="341" t="e">
        <f ca="1">(FV14/FV15)*Ratio</f>
        <v>#N/A</v>
      </c>
      <c r="GD22" s="256" t="e">
        <f ca="1">(GB22/(GC22^2))</f>
        <v>#N/A</v>
      </c>
    </row>
    <row r="23" spans="1:186" ht="15.75" x14ac:dyDescent="0.25">
      <c r="A23" s="250" t="s">
        <v>609</v>
      </c>
      <c r="B23" s="251">
        <v>1.19</v>
      </c>
      <c r="C23" s="251">
        <v>0.94499999999999995</v>
      </c>
      <c r="D23" s="251">
        <v>0.42</v>
      </c>
      <c r="E23" s="251">
        <v>0.28299999999999997</v>
      </c>
      <c r="F23" s="257">
        <v>1</v>
      </c>
      <c r="G23" s="253">
        <f>((PI()*D23*E23/4)*(B23^2-C23^2))*F23</f>
        <v>4.8830320073770625E-2</v>
      </c>
      <c r="H23" s="254">
        <f>(((G23/386.4)*(B23^2+C23^2))/8)</f>
        <v>3.6476226979925464E-5</v>
      </c>
      <c r="I23" s="255">
        <f>IF(I32=0,1,I32)</f>
        <v>1</v>
      </c>
      <c r="J23" s="256">
        <f>(H23/(I23^2))</f>
        <v>3.6476226979925464E-5</v>
      </c>
      <c r="L23" s="250" t="s">
        <v>609</v>
      </c>
      <c r="M23" s="251">
        <v>1.19</v>
      </c>
      <c r="N23" s="251">
        <v>0.625</v>
      </c>
      <c r="O23" s="251">
        <v>0.42</v>
      </c>
      <c r="P23" s="251">
        <v>0.28299999999999997</v>
      </c>
      <c r="Q23" s="257">
        <v>1</v>
      </c>
      <c r="R23" s="253">
        <f>((PI()*P23*O23/4)*(M23^2-N23^2))*Q23</f>
        <v>9.5730578746164377E-2</v>
      </c>
      <c r="S23" s="254">
        <f>(((R23/386.4)*(M23^2+N23^2))/8)</f>
        <v>5.5952002421442755E-5</v>
      </c>
      <c r="T23" s="255">
        <f>IF(T32=0,1,T32)</f>
        <v>1</v>
      </c>
      <c r="U23" s="256">
        <f>(S23/(T23^2))</f>
        <v>5.5952002421442755E-5</v>
      </c>
      <c r="W23" s="250" t="s">
        <v>610</v>
      </c>
      <c r="X23" s="251">
        <v>1.19</v>
      </c>
      <c r="Y23" s="251">
        <v>0.875</v>
      </c>
      <c r="Z23" s="251">
        <v>0.42</v>
      </c>
      <c r="AA23" s="251">
        <v>0.28299999999999997</v>
      </c>
      <c r="AB23" s="257">
        <v>1</v>
      </c>
      <c r="AC23" s="253">
        <f>((PI()*Z23*AA23/4)*(X23^2-Y23^2))*AB23</f>
        <v>6.0723419108131615E-2</v>
      </c>
      <c r="AD23" s="254">
        <f>(((AC23/386.4)*(X23^2+Y23^2))/8)</f>
        <v>4.2857725657896118E-5</v>
      </c>
      <c r="AE23" s="255">
        <f>IF(AE32=0,1,AE32)</f>
        <v>1</v>
      </c>
      <c r="AF23" s="256">
        <f>(AD23/(AE23^2))</f>
        <v>4.2857725657896118E-5</v>
      </c>
      <c r="AH23" s="250" t="s">
        <v>610</v>
      </c>
      <c r="AI23" s="251">
        <v>1.19</v>
      </c>
      <c r="AJ23" s="251">
        <v>0.875</v>
      </c>
      <c r="AK23" s="251">
        <v>0.42</v>
      </c>
      <c r="AL23" s="251">
        <v>0.28299999999999997</v>
      </c>
      <c r="AM23" s="257">
        <v>1</v>
      </c>
      <c r="AN23" s="253">
        <f>((PI()*AK23*AL23/4)*(AI23^2-AJ23^2))*AM23</f>
        <v>6.0723419108131615E-2</v>
      </c>
      <c r="AO23" s="254">
        <f>(((AN23/386.4)*(AI23^2+AJ23^2))/8)</f>
        <v>4.2857725657896118E-5</v>
      </c>
      <c r="AP23" s="255">
        <f>IF(AP32=0,1,AP32)</f>
        <v>1</v>
      </c>
      <c r="AQ23" s="256">
        <f>(AO23/(AP23^2))</f>
        <v>4.2857725657896118E-5</v>
      </c>
      <c r="AS23" s="250"/>
      <c r="AT23" s="251"/>
      <c r="AU23" s="251"/>
      <c r="AV23" s="251"/>
      <c r="AW23" s="251"/>
      <c r="AX23" s="245"/>
      <c r="AY23" s="253"/>
      <c r="AZ23" s="254"/>
      <c r="BA23" s="251"/>
      <c r="BB23" s="256"/>
      <c r="BD23" s="250"/>
      <c r="BE23" s="251"/>
      <c r="BF23" s="251"/>
      <c r="BG23" s="251"/>
      <c r="BH23" s="251"/>
      <c r="BI23" s="245"/>
      <c r="BJ23" s="253"/>
      <c r="BK23" s="254"/>
      <c r="BL23" s="251"/>
      <c r="BM23" s="245"/>
      <c r="BO23" s="250"/>
      <c r="BP23" s="251"/>
      <c r="BQ23" s="251"/>
      <c r="BS23" s="251"/>
      <c r="BT23" s="245"/>
      <c r="BU23" s="253"/>
      <c r="BV23" s="254"/>
      <c r="BW23" s="245"/>
      <c r="BX23" s="245"/>
      <c r="BZ23" s="250"/>
      <c r="CA23" s="251"/>
      <c r="CB23" s="251"/>
      <c r="CC23" s="251"/>
      <c r="CD23" s="251"/>
      <c r="CE23" s="245"/>
      <c r="CF23" s="253"/>
      <c r="CG23" s="254"/>
      <c r="CH23" s="245"/>
      <c r="CI23" s="245"/>
      <c r="CK23" s="250"/>
      <c r="CL23" s="251"/>
      <c r="CM23" s="251"/>
      <c r="CN23" s="251"/>
      <c r="CO23" s="251"/>
      <c r="CP23" s="257"/>
      <c r="CQ23" s="344"/>
      <c r="CR23" s="254"/>
      <c r="CS23" s="255"/>
      <c r="CT23" s="256"/>
      <c r="CV23" s="250" t="s">
        <v>605</v>
      </c>
      <c r="CW23" s="251">
        <v>3.4</v>
      </c>
      <c r="CX23" s="251">
        <v>2.75</v>
      </c>
      <c r="CY23" s="251">
        <v>1.22</v>
      </c>
      <c r="CZ23" s="257">
        <v>0.28299999999999997</v>
      </c>
      <c r="DA23" s="257">
        <v>1</v>
      </c>
      <c r="DB23" s="253">
        <f>((PI()*CY23*CZ23/4)*(CW23^2-CX23^2))*DA23</f>
        <v>1.0839883631536751</v>
      </c>
      <c r="DC23" s="254">
        <f>(((DB23/386.4)*(CW23^2+CX23^2))/8)</f>
        <v>6.7056701198260063E-3</v>
      </c>
      <c r="DD23" s="255">
        <f>IF($DD$37=0,1,$DD$37)</f>
        <v>1</v>
      </c>
      <c r="DE23" s="256">
        <f>(DC23/(DD23^2))</f>
        <v>6.7056701198260063E-3</v>
      </c>
      <c r="DG23" s="250" t="s">
        <v>605</v>
      </c>
      <c r="DH23" s="339">
        <v>3.4</v>
      </c>
      <c r="DI23" s="339">
        <v>2.75</v>
      </c>
      <c r="DJ23" s="339">
        <v>1.22</v>
      </c>
      <c r="DK23" s="254">
        <v>0.28299999999999997</v>
      </c>
      <c r="DL23" s="257">
        <v>1</v>
      </c>
      <c r="DM23" s="340">
        <f>((PI()*DJ23*DK23/4)*(DH23^2-DI23^2))*DL23</f>
        <v>1.0839883631536751</v>
      </c>
      <c r="DN23" s="254">
        <f>(((DM23/386.4)*(DH23^2+DI23^2))/8)</f>
        <v>6.7056701198260063E-3</v>
      </c>
      <c r="DO23" s="255">
        <f>IF($DD$37=0,1,$DD$37)</f>
        <v>1</v>
      </c>
      <c r="DP23" s="256">
        <f>(DN23/(DO23^2))</f>
        <v>6.7056701198260063E-3</v>
      </c>
      <c r="DR23" s="250" t="s">
        <v>611</v>
      </c>
      <c r="DS23" s="251">
        <v>6</v>
      </c>
      <c r="DT23" s="251">
        <v>1.5</v>
      </c>
      <c r="DU23" s="251">
        <v>0.75</v>
      </c>
      <c r="DV23" s="251">
        <v>0.28299999999999997</v>
      </c>
      <c r="DW23" s="252">
        <v>1</v>
      </c>
      <c r="DX23" s="340">
        <f>((PI()*DU23*DV23/4)*(DS23^2-DT23^2))*DW23</f>
        <v>5.6261506561124079</v>
      </c>
      <c r="DY23" s="254">
        <f>(((DX23/386.4)*(DS23^2+DT23^2))/8)</f>
        <v>6.9617062175303973E-2</v>
      </c>
      <c r="DZ23" s="341" t="e">
        <f ca="1">Ratio</f>
        <v>#N/A</v>
      </c>
      <c r="EA23" s="256" t="e">
        <f ca="1">(DY23/(DZ23^2))</f>
        <v>#N/A</v>
      </c>
      <c r="EC23" s="345" t="s">
        <v>805</v>
      </c>
      <c r="ED23" s="257">
        <v>4</v>
      </c>
      <c r="EE23" s="339">
        <v>2.25</v>
      </c>
      <c r="EF23" s="339">
        <v>2.5</v>
      </c>
      <c r="EG23" s="257">
        <v>0.28299999999999997</v>
      </c>
      <c r="EH23" s="257">
        <v>1</v>
      </c>
      <c r="EI23" s="435">
        <f>((PI()*EF23*EG23/4)*(ED23^2-EE23^2))*EH23</f>
        <v>6.07763188160291</v>
      </c>
      <c r="EJ23" s="254">
        <f>(((EI23/386.4)*(ED23^2+EE23^2))/8)</f>
        <v>4.1411141791621794E-2</v>
      </c>
      <c r="EK23" s="255" t="e">
        <f ca="1">Ratio</f>
        <v>#N/A</v>
      </c>
      <c r="EL23" s="256" t="e">
        <f ca="1">(EJ23/(EK23^2))</f>
        <v>#N/A</v>
      </c>
      <c r="EN23" s="345" t="s">
        <v>805</v>
      </c>
      <c r="EO23" s="257">
        <v>4</v>
      </c>
      <c r="EP23" s="339">
        <v>2.25</v>
      </c>
      <c r="EQ23" s="339">
        <v>2.5</v>
      </c>
      <c r="ER23" s="257">
        <v>0.28299999999999997</v>
      </c>
      <c r="ES23" s="257">
        <v>1</v>
      </c>
      <c r="ET23" s="435">
        <f>((PI()*EQ23*ER23/4)*(EO23^2-EP23^2))*ES23</f>
        <v>6.07763188160291</v>
      </c>
      <c r="EU23" s="254">
        <f>(((ET23/386.4)*(EO23^2+EP23^2))/8)</f>
        <v>4.1411141791621794E-2</v>
      </c>
      <c r="EV23" s="255" t="e">
        <f ca="1">Ratio</f>
        <v>#N/A</v>
      </c>
      <c r="EW23" s="256" t="e">
        <f ca="1">(EU23/(EV23^2))</f>
        <v>#N/A</v>
      </c>
      <c r="EY23" s="345" t="s">
        <v>805</v>
      </c>
      <c r="EZ23" s="339">
        <v>6</v>
      </c>
      <c r="FA23" s="339">
        <v>3.5</v>
      </c>
      <c r="FB23" s="339">
        <v>2</v>
      </c>
      <c r="FC23" s="254">
        <v>0.28299999999999997</v>
      </c>
      <c r="FD23" s="257">
        <v>1</v>
      </c>
      <c r="FE23" s="435">
        <f>((PI()*FB23*FC23/4)*(EZ23^2-FA23^2))*FD23</f>
        <v>10.557714811470197</v>
      </c>
      <c r="FF23" s="254">
        <f>(((FE23/386.4)*(EZ23^2+FA23^2))/8)</f>
        <v>0.16479352343861187</v>
      </c>
      <c r="FG23" s="255" t="e">
        <f ca="1">Ratio</f>
        <v>#N/A</v>
      </c>
      <c r="FH23" s="256" t="e">
        <f ca="1">(FF23/(FG23^2))</f>
        <v>#N/A</v>
      </c>
      <c r="FJ23" s="345" t="s">
        <v>805</v>
      </c>
      <c r="FK23" s="339">
        <v>6</v>
      </c>
      <c r="FL23" s="339">
        <v>3.5</v>
      </c>
      <c r="FM23" s="339">
        <v>2</v>
      </c>
      <c r="FN23" s="254">
        <v>0.28299999999999997</v>
      </c>
      <c r="FO23" s="257">
        <v>1</v>
      </c>
      <c r="FP23" s="435">
        <f>((PI()*FM23*FN23/4)*(FK23^2-FL23^2))*FO23</f>
        <v>10.557714811470197</v>
      </c>
      <c r="FQ23" s="254">
        <f>(((FP23/386.4)*(FK23^2+FL23^2))/8)</f>
        <v>0.16479352343861187</v>
      </c>
      <c r="FR23" s="255" t="e">
        <f ca="1">Ratio</f>
        <v>#N/A</v>
      </c>
      <c r="FS23" s="256" t="e">
        <f ca="1">(FQ23/(FR23^2))</f>
        <v>#N/A</v>
      </c>
      <c r="FU23" s="250"/>
      <c r="FV23" s="379"/>
      <c r="FW23" s="379"/>
      <c r="FX23" s="379"/>
      <c r="FY23" s="251"/>
      <c r="FZ23" s="252"/>
      <c r="GA23" s="340"/>
      <c r="GB23" s="254"/>
      <c r="GC23" s="341"/>
      <c r="GD23" s="256"/>
    </row>
    <row r="24" spans="1:186" ht="15.75" x14ac:dyDescent="0.25">
      <c r="A24" s="250"/>
      <c r="B24" s="251"/>
      <c r="C24" s="251"/>
      <c r="D24" s="251"/>
      <c r="E24" s="251"/>
      <c r="F24" s="245"/>
      <c r="G24" s="253"/>
      <c r="H24" s="254"/>
      <c r="I24" s="245"/>
      <c r="J24" s="245"/>
      <c r="L24" s="250"/>
      <c r="M24" s="251"/>
      <c r="N24" s="251"/>
      <c r="O24" s="251"/>
      <c r="P24" s="251"/>
      <c r="Q24" s="245"/>
      <c r="R24" s="253"/>
      <c r="S24" s="254"/>
      <c r="T24" s="255"/>
      <c r="U24" s="256"/>
      <c r="W24" s="250"/>
      <c r="X24" s="251"/>
      <c r="Y24" s="251"/>
      <c r="Z24" s="251"/>
      <c r="AA24" s="251"/>
      <c r="AB24" s="245"/>
      <c r="AC24" s="253"/>
      <c r="AD24" s="254"/>
      <c r="AE24" s="245"/>
      <c r="AF24" s="245"/>
      <c r="AH24" s="250"/>
      <c r="AI24" s="251"/>
      <c r="AJ24" s="251"/>
      <c r="AK24" s="251"/>
      <c r="AL24" s="251"/>
      <c r="AM24" s="245"/>
      <c r="AN24" s="253"/>
      <c r="AO24" s="254"/>
      <c r="AP24" s="245"/>
      <c r="AQ24" s="245"/>
      <c r="AS24" s="250" t="s">
        <v>605</v>
      </c>
      <c r="AT24" s="251">
        <v>3.15</v>
      </c>
      <c r="AU24" s="251">
        <v>1.57</v>
      </c>
      <c r="AV24" s="251">
        <v>0.35</v>
      </c>
      <c r="AW24" s="251">
        <v>0.28299999999999997</v>
      </c>
      <c r="AX24" s="257">
        <v>1</v>
      </c>
      <c r="AY24" s="253">
        <f>((PI()*AV24*AW24/4)*(AT24^2-AU24^2))*AX24</f>
        <v>0.58015420825909569</v>
      </c>
      <c r="AZ24" s="254">
        <f>(((AY24/386.4)*(AT24^2+AU24^2))/8)</f>
        <v>2.3248583848954197E-3</v>
      </c>
      <c r="BA24" s="251">
        <f>IF(BA36=0,1,BA36)</f>
        <v>1</v>
      </c>
      <c r="BB24" s="256">
        <f>(AZ24/(BA24^2))</f>
        <v>2.3248583848954197E-3</v>
      </c>
      <c r="BD24" s="250" t="s">
        <v>605</v>
      </c>
      <c r="BE24" s="251">
        <v>3.15</v>
      </c>
      <c r="BF24" s="251">
        <v>1.57</v>
      </c>
      <c r="BG24" s="251">
        <v>0.35</v>
      </c>
      <c r="BH24" s="251">
        <v>0.28299999999999997</v>
      </c>
      <c r="BI24" s="257">
        <v>1</v>
      </c>
      <c r="BJ24" s="253">
        <f>((PI()*BG24*BH24/4)*(BE24^2-BF24^2))*BI24</f>
        <v>0.58015420825909569</v>
      </c>
      <c r="BK24" s="254">
        <f>(((BJ24/386.4)*(BE24^2+BF24^2))/8)</f>
        <v>2.3248583848954197E-3</v>
      </c>
      <c r="BL24" s="251">
        <f>IF(BL36=0,1,BL36)</f>
        <v>1</v>
      </c>
      <c r="BM24" s="256">
        <f>(BK24/(BL24^2))</f>
        <v>2.3248583848954197E-3</v>
      </c>
      <c r="BO24" s="250" t="s">
        <v>605</v>
      </c>
      <c r="BP24" s="251">
        <v>3.15</v>
      </c>
      <c r="BQ24" s="251">
        <v>1.57</v>
      </c>
      <c r="BR24" s="251">
        <v>0.35</v>
      </c>
      <c r="BS24" s="251">
        <v>0.28299999999999997</v>
      </c>
      <c r="BT24" s="257">
        <v>1</v>
      </c>
      <c r="BU24" s="253">
        <f>((PI()*BR24*BS24/4)*(BP24^2-BQ24^2))*BT24</f>
        <v>0.58015420825909569</v>
      </c>
      <c r="BV24" s="254">
        <f>(((BU24/386.4)*(BP24^2+BQ24^2))/8)</f>
        <v>2.3248583848954197E-3</v>
      </c>
      <c r="BW24" s="255">
        <f>IF(BW37=0,1,BW37)</f>
        <v>1</v>
      </c>
      <c r="BX24" s="256">
        <f>(BV24/(BW24^2))</f>
        <v>2.3248583848954197E-3</v>
      </c>
      <c r="BZ24" s="250" t="s">
        <v>605</v>
      </c>
      <c r="CA24" s="251">
        <v>3.4</v>
      </c>
      <c r="CB24" s="251">
        <v>2.75</v>
      </c>
      <c r="CC24" s="251">
        <v>1.22</v>
      </c>
      <c r="CD24" s="251">
        <v>0.28299999999999997</v>
      </c>
      <c r="CE24" s="257">
        <v>1</v>
      </c>
      <c r="CF24" s="253">
        <f>((PI()*CC24*CD24/4)*(CA24^2-CB24^2))*CE24</f>
        <v>1.0839883631536751</v>
      </c>
      <c r="CG24" s="254">
        <f>(((CF24/386.4)*(CA24^2+CB24^2))/8)</f>
        <v>6.7056701198260063E-3</v>
      </c>
      <c r="CH24" s="255">
        <f>IF(CH36=0,1,CH36)</f>
        <v>1</v>
      </c>
      <c r="CI24" s="256">
        <f>(CG24/(CH24^2))</f>
        <v>6.7056701198260063E-3</v>
      </c>
      <c r="CK24" s="250" t="s">
        <v>605</v>
      </c>
      <c r="CL24" s="251">
        <v>3.4</v>
      </c>
      <c r="CM24" s="251">
        <v>2.75</v>
      </c>
      <c r="CN24" s="251">
        <v>1.22</v>
      </c>
      <c r="CO24" s="251">
        <v>0.28299999999999997</v>
      </c>
      <c r="CP24" s="257">
        <v>1</v>
      </c>
      <c r="CQ24" s="253">
        <f>((PI()*CN24*CO24/4)*(CL24^2-CM24^2))*CP24</f>
        <v>1.0839883631536751</v>
      </c>
      <c r="CR24" s="254">
        <f>(((CQ24/386.4)*(CL24^2+CM24^2))/8)</f>
        <v>6.7056701198260063E-3</v>
      </c>
      <c r="CS24" s="255">
        <f>IF($CS$36=0,1,$CS$36)</f>
        <v>1</v>
      </c>
      <c r="CT24" s="256">
        <f>(CR24/(CS24^2))</f>
        <v>6.7056701198260063E-3</v>
      </c>
      <c r="CV24" s="250" t="s">
        <v>613</v>
      </c>
      <c r="CW24" s="251">
        <v>2.75</v>
      </c>
      <c r="CX24" s="251">
        <v>1.871</v>
      </c>
      <c r="CY24" s="251">
        <v>0.68</v>
      </c>
      <c r="CZ24" s="257">
        <v>0.28299999999999997</v>
      </c>
      <c r="DA24" s="257">
        <v>1</v>
      </c>
      <c r="DB24" s="253">
        <f>((PI()*CY24*CZ24/4)*(CW24^2-CX24^2))*DA24</f>
        <v>0.61391758463061896</v>
      </c>
      <c r="DC24" s="254">
        <f>(((DB24/386.4)*(CW24^2+CX24^2))/8)</f>
        <v>2.1971586442637069E-3</v>
      </c>
      <c r="DD24" s="255">
        <f>IF($DD$37=0,1,$DD$37)</f>
        <v>1</v>
      </c>
      <c r="DE24" s="256">
        <f>(DC24/(DD24^2))</f>
        <v>2.1971586442637069E-3</v>
      </c>
      <c r="DG24" s="345" t="s">
        <v>613</v>
      </c>
      <c r="DH24" s="339">
        <v>2.75</v>
      </c>
      <c r="DI24" s="339">
        <v>1.871</v>
      </c>
      <c r="DJ24" s="339">
        <v>0.68</v>
      </c>
      <c r="DK24" s="254">
        <v>0.28299999999999997</v>
      </c>
      <c r="DL24" s="257">
        <v>1</v>
      </c>
      <c r="DM24" s="340">
        <f>((PI()*DJ24*DK24/4)*(DH24^2-DI24^2))*DL24</f>
        <v>0.61391758463061896</v>
      </c>
      <c r="DN24" s="254">
        <f>(((DM24/386.4)*(DH24^2+DI24^2))/8)</f>
        <v>2.1971586442637069E-3</v>
      </c>
      <c r="DO24" s="255">
        <f>IF($DD$37=0,1,$DD$37)</f>
        <v>1</v>
      </c>
      <c r="DP24" s="256">
        <f>(DN24/(DO24^2))</f>
        <v>2.1971586442637069E-3</v>
      </c>
      <c r="DR24" s="250" t="s">
        <v>614</v>
      </c>
      <c r="DS24" s="251">
        <v>3.8340000000000001</v>
      </c>
      <c r="DT24" s="251">
        <v>1.5</v>
      </c>
      <c r="DU24" s="251">
        <v>1.875</v>
      </c>
      <c r="DV24" s="251">
        <v>0.28299999999999997</v>
      </c>
      <c r="DW24" s="252">
        <v>1</v>
      </c>
      <c r="DX24" s="340">
        <f>((PI()*DU24*DV24/4)*(DS24^2-DT24^2))*DW24</f>
        <v>5.1883761227931977</v>
      </c>
      <c r="DY24" s="254">
        <f>(((DX24/386.4)*(DS24^2+DT24^2))/8)</f>
        <v>2.8448716240407027E-2</v>
      </c>
      <c r="DZ24" s="341" t="e">
        <f ca="1">Ratio</f>
        <v>#N/A</v>
      </c>
      <c r="EA24" s="256" t="e">
        <f ca="1">(DY24/(DZ24^2))</f>
        <v>#N/A</v>
      </c>
      <c r="EC24" s="250" t="s">
        <v>808</v>
      </c>
      <c r="ED24" s="257"/>
      <c r="EE24" s="339"/>
      <c r="EF24" s="339"/>
      <c r="EG24" s="257"/>
      <c r="EH24" s="257"/>
      <c r="EI24" s="435"/>
      <c r="EJ24" s="254"/>
      <c r="EK24" s="255"/>
      <c r="EL24" s="256"/>
      <c r="EN24" s="250" t="s">
        <v>808</v>
      </c>
      <c r="EO24" s="257"/>
      <c r="EP24" s="339"/>
      <c r="EQ24" s="339"/>
      <c r="ER24" s="257"/>
      <c r="ES24" s="257"/>
      <c r="ET24" s="435"/>
      <c r="EU24" s="254"/>
      <c r="EV24" s="255"/>
      <c r="EW24" s="256"/>
      <c r="EY24" s="250" t="s">
        <v>807</v>
      </c>
      <c r="EZ24" s="339"/>
      <c r="FA24" s="339"/>
      <c r="FB24" s="339"/>
      <c r="FC24" s="254"/>
      <c r="FD24" s="257"/>
      <c r="FE24" s="435"/>
      <c r="FF24" s="254"/>
      <c r="FG24" s="255"/>
      <c r="FH24" s="256"/>
      <c r="FJ24" s="250" t="s">
        <v>807</v>
      </c>
      <c r="FK24" s="339"/>
      <c r="FL24" s="339"/>
      <c r="FM24" s="339"/>
      <c r="FN24" s="254"/>
      <c r="FO24" s="257"/>
      <c r="FP24" s="435"/>
      <c r="FQ24" s="254"/>
      <c r="FR24" s="255"/>
      <c r="FS24" s="256"/>
      <c r="FU24" s="250" t="s">
        <v>587</v>
      </c>
      <c r="FV24" s="378">
        <v>14.04</v>
      </c>
      <c r="FW24" s="378">
        <v>6</v>
      </c>
      <c r="FX24" s="380">
        <v>3.31</v>
      </c>
      <c r="FY24" s="251">
        <v>0.28299999999999997</v>
      </c>
      <c r="FZ24" s="252">
        <v>1</v>
      </c>
      <c r="GA24" s="340">
        <f>((PI()*FX24*FY24/4)*(FV24^2-FW24^2))*FZ24</f>
        <v>118.53813132971241</v>
      </c>
      <c r="GB24" s="254">
        <f>(((GA24/386.4)*(FV24^2+FW24^2))/8)</f>
        <v>8.9395053172207177</v>
      </c>
      <c r="GC24" s="341" t="e">
        <f ca="1">Ratio</f>
        <v>#N/A</v>
      </c>
      <c r="GD24" s="256" t="e">
        <f ca="1">(GB24/(GC24^2))</f>
        <v>#N/A</v>
      </c>
    </row>
    <row r="25" spans="1:186" ht="15.75" x14ac:dyDescent="0.25">
      <c r="A25" s="250" t="s">
        <v>665</v>
      </c>
      <c r="B25" s="257">
        <v>2.25</v>
      </c>
      <c r="C25" s="257">
        <v>1.605</v>
      </c>
      <c r="D25" s="257">
        <f ca="1">VALUE(Width)+1.75</f>
        <v>1.75</v>
      </c>
      <c r="E25" s="257">
        <v>0.28299999999999997</v>
      </c>
      <c r="F25" s="381">
        <f ca="1">S_Roll</f>
        <v>5</v>
      </c>
      <c r="G25" s="253">
        <f ca="1">((PI()*E25*D25/4)*(B25^2-C25^2))*F25</f>
        <v>4.8358015144987503</v>
      </c>
      <c r="H25" s="260">
        <f ca="1">((G25/32.3)*0.5*((((B25*0.5)^2)+((C25*0.5)^2))/144))*12</f>
        <v>1.1912535720954773E-2</v>
      </c>
      <c r="I25" s="251" t="e">
        <f ca="1">(B25/B7)*Ratio</f>
        <v>#N/A</v>
      </c>
      <c r="J25" s="256" t="e">
        <f ca="1">(H25/(I25^2))</f>
        <v>#N/A</v>
      </c>
      <c r="L25" s="250" t="s">
        <v>665</v>
      </c>
      <c r="M25" s="257">
        <v>2.25</v>
      </c>
      <c r="N25" s="257">
        <v>1.605</v>
      </c>
      <c r="O25" s="257">
        <f ca="1">VALUE(Width)+1.75</f>
        <v>1.75</v>
      </c>
      <c r="P25" s="257">
        <v>0.28299999999999997</v>
      </c>
      <c r="Q25" s="382">
        <f ca="1">S_Roll</f>
        <v>5</v>
      </c>
      <c r="R25" s="253">
        <f ca="1">((PI()*P25*O25/4)*(M25^2-N25^2))*Q25</f>
        <v>4.8358015144987503</v>
      </c>
      <c r="S25" s="254">
        <f ca="1">((R25/32.3)*0.5*((((M25*0.5)^2)+((N25*0.5)^2))/144))*12</f>
        <v>1.1912535720954773E-2</v>
      </c>
      <c r="T25" s="255" t="e">
        <f ca="1">(M25/M7)*Ratio</f>
        <v>#N/A</v>
      </c>
      <c r="U25" s="256" t="e">
        <f ca="1">(S25/(T25^2))</f>
        <v>#N/A</v>
      </c>
      <c r="W25" s="250" t="s">
        <v>665</v>
      </c>
      <c r="X25" s="380">
        <v>2.25</v>
      </c>
      <c r="Y25" s="380">
        <v>1.75</v>
      </c>
      <c r="Z25" s="378">
        <f ca="1">VALUE(Width)+1.75</f>
        <v>1.75</v>
      </c>
      <c r="AA25" s="383">
        <v>0.28299999999999997</v>
      </c>
      <c r="AB25" s="384">
        <f ca="1">S_Roll</f>
        <v>5</v>
      </c>
      <c r="AC25" s="385">
        <f ca="1">((PI()*AA25*Z25/4)*(X25^2-Y25^2))*AB25</f>
        <v>3.889684404225862</v>
      </c>
      <c r="AD25" s="386">
        <f ca="1">((AC25/32.3)*0.5*((((X25*0.5)^2)+((Y25*0.5)^2))/144))*12</f>
        <v>1.0192107128591052E-2</v>
      </c>
      <c r="AE25" s="378" t="e">
        <f ca="1">(X25/X7)*Ratio</f>
        <v>#N/A</v>
      </c>
      <c r="AF25" s="387" t="e">
        <f ca="1">(AD25/(AE25^2))</f>
        <v>#N/A</v>
      </c>
      <c r="AH25" s="250" t="s">
        <v>665</v>
      </c>
      <c r="AI25" s="257">
        <v>2.25</v>
      </c>
      <c r="AJ25" s="257">
        <v>1.75</v>
      </c>
      <c r="AK25" s="257">
        <f ca="1">VALUE(Width)+1.75</f>
        <v>1.75</v>
      </c>
      <c r="AL25" s="251">
        <v>0.28299999999999997</v>
      </c>
      <c r="AM25" s="384">
        <f ca="1">S_Roll</f>
        <v>5</v>
      </c>
      <c r="AN25" s="385">
        <f ca="1">((PI()*AL25*AK25/4)*(AI25^2-AJ25^2))*AM25</f>
        <v>3.889684404225862</v>
      </c>
      <c r="AO25" s="386">
        <f ca="1">((AN25/32.3)*0.5*((((AI25*0.5)^2)+((AJ25*0.5)^2))/144))*12</f>
        <v>1.0192107128591052E-2</v>
      </c>
      <c r="AP25" s="383" t="e">
        <f ca="1">(AI25/AI7)*Ratio</f>
        <v>#N/A</v>
      </c>
      <c r="AQ25" s="387" t="e">
        <f ca="1">(AO25/(AP25^2))</f>
        <v>#N/A</v>
      </c>
      <c r="AS25" s="250" t="s">
        <v>612</v>
      </c>
      <c r="AT25" s="251">
        <v>3.15</v>
      </c>
      <c r="AU25" s="251">
        <v>1.625</v>
      </c>
      <c r="AV25" s="251">
        <v>0.87</v>
      </c>
      <c r="AW25" s="251">
        <v>0.28299999999999997</v>
      </c>
      <c r="AX25" s="257">
        <v>1</v>
      </c>
      <c r="AY25" s="253">
        <f>((PI()*AV25*AW25/4)*(AT25^2-AU25^2))*AX25</f>
        <v>1.4081171537308179</v>
      </c>
      <c r="AZ25" s="254">
        <f>(((AY25/386.4)*(AT25^2+AU25^2))/8)</f>
        <v>5.7228104997944108E-3</v>
      </c>
      <c r="BA25" s="251">
        <f>IF(BA37=0,1,BA37)</f>
        <v>1</v>
      </c>
      <c r="BB25" s="256">
        <f>(AZ25/(BA25^2))</f>
        <v>5.7228104997944108E-3</v>
      </c>
      <c r="BD25" s="250" t="s">
        <v>612</v>
      </c>
      <c r="BE25" s="251">
        <v>3.15</v>
      </c>
      <c r="BF25" s="251">
        <v>1.625</v>
      </c>
      <c r="BG25" s="251">
        <v>0.87</v>
      </c>
      <c r="BH25" s="251">
        <v>0.28299999999999997</v>
      </c>
      <c r="BI25" s="257">
        <v>1</v>
      </c>
      <c r="BJ25" s="253">
        <f>((PI()*BG25*BH25/4)*(BE25^2-BF25^2))*BI25</f>
        <v>1.4081171537308179</v>
      </c>
      <c r="BK25" s="254">
        <f>(((BJ25/386.4)*(BE25^2+BF25^2))/8)</f>
        <v>5.7228104997944108E-3</v>
      </c>
      <c r="BL25" s="251">
        <f>IF(BL37=0,1,BL37)</f>
        <v>1</v>
      </c>
      <c r="BM25" s="256">
        <f>(BK25/(BL25^2))</f>
        <v>5.7228104997944108E-3</v>
      </c>
      <c r="BO25" s="250" t="s">
        <v>613</v>
      </c>
      <c r="BP25" s="251">
        <v>3.15</v>
      </c>
      <c r="BQ25" s="251">
        <v>1.625</v>
      </c>
      <c r="BR25" s="251">
        <v>0.87</v>
      </c>
      <c r="BS25" s="251">
        <v>0.28299999999999997</v>
      </c>
      <c r="BT25" s="257">
        <v>1</v>
      </c>
      <c r="BU25" s="253">
        <f>((PI()*BR25*BS25/4)*(BP25^2-BQ25^2))*BT25</f>
        <v>1.4081171537308179</v>
      </c>
      <c r="BV25" s="254">
        <f>(((BU25/386.4)*(BP25^2+BQ25^2))/8)</f>
        <v>5.7228104997944108E-3</v>
      </c>
      <c r="BW25" s="255">
        <f>IF(BW35=0,1,BW35)</f>
        <v>1</v>
      </c>
      <c r="BX25" s="256">
        <f>(BV25/(BW25^2))</f>
        <v>5.7228104997944108E-3</v>
      </c>
      <c r="BZ25" s="250" t="s">
        <v>613</v>
      </c>
      <c r="CA25" s="251">
        <v>2.75</v>
      </c>
      <c r="CB25" s="251">
        <v>1.871</v>
      </c>
      <c r="CC25" s="251">
        <v>0.68</v>
      </c>
      <c r="CD25" s="251">
        <v>0.28299999999999997</v>
      </c>
      <c r="CE25" s="257">
        <v>1</v>
      </c>
      <c r="CF25" s="253">
        <f>((PI()*CC25*CD25/4)*(CA25^2-CB25^2))*CE25</f>
        <v>0.61391758463061896</v>
      </c>
      <c r="CG25" s="254">
        <f>(((CF25/386.4)*(CA25^2+CB25^2))/8)</f>
        <v>2.1971586442637069E-3</v>
      </c>
      <c r="CH25" s="255">
        <f>IF(CH37=0,1,CH37)</f>
        <v>1</v>
      </c>
      <c r="CI25" s="256">
        <f>(CG25/(CH25^2))</f>
        <v>2.1971586442637069E-3</v>
      </c>
      <c r="CK25" s="250" t="s">
        <v>613</v>
      </c>
      <c r="CL25" s="251">
        <v>2.75</v>
      </c>
      <c r="CM25" s="251">
        <v>1.871</v>
      </c>
      <c r="CN25" s="251">
        <v>0.68</v>
      </c>
      <c r="CO25" s="251">
        <v>0.28299999999999997</v>
      </c>
      <c r="CP25" s="257">
        <v>1</v>
      </c>
      <c r="CQ25" s="253">
        <f>((PI()*CN25*CO25/4)*(CL25^2-CM25^2))*CP25</f>
        <v>0.61391758463061896</v>
      </c>
      <c r="CR25" s="254">
        <f>(((CQ25/386.4)*(CL25^2+CM25^2))/8)</f>
        <v>2.1971586442637069E-3</v>
      </c>
      <c r="CS25" s="255">
        <f>IF($CS$36=0,1,$CS$36)</f>
        <v>1</v>
      </c>
      <c r="CT25" s="256">
        <f>(CR25/(CS25^2))</f>
        <v>2.1971586442637069E-3</v>
      </c>
      <c r="CV25" s="250"/>
      <c r="CW25" s="251"/>
      <c r="CX25" s="251"/>
      <c r="CY25" s="251"/>
      <c r="CZ25" s="257"/>
      <c r="DA25" s="257"/>
      <c r="DB25" s="253"/>
      <c r="DC25" s="254"/>
      <c r="DD25" s="255"/>
      <c r="DE25" s="256"/>
      <c r="DG25" s="250"/>
      <c r="DH25" s="339"/>
      <c r="DI25" s="339"/>
      <c r="DJ25" s="339"/>
      <c r="DK25" s="254"/>
      <c r="DL25" s="257"/>
      <c r="DM25" s="340"/>
      <c r="DN25" s="254"/>
      <c r="DO25" s="255"/>
      <c r="DP25" s="256"/>
      <c r="DR25" s="345"/>
      <c r="DS25" s="251"/>
      <c r="DT25" s="251"/>
      <c r="DU25" s="251"/>
      <c r="DV25" s="251"/>
      <c r="DW25" s="252"/>
      <c r="DX25" s="340"/>
      <c r="DY25" s="254"/>
      <c r="DZ25" s="341"/>
      <c r="EA25" s="256"/>
      <c r="EC25" s="345"/>
      <c r="ED25" s="257"/>
      <c r="EE25" s="339"/>
      <c r="EF25" s="339"/>
      <c r="EG25" s="257"/>
      <c r="EH25" s="257"/>
      <c r="EI25" s="435"/>
      <c r="EJ25" s="254"/>
      <c r="EK25" s="255"/>
      <c r="EL25" s="256"/>
      <c r="EN25" s="345"/>
      <c r="EO25" s="257"/>
      <c r="EP25" s="339"/>
      <c r="EQ25" s="339"/>
      <c r="ER25" s="257"/>
      <c r="ES25" s="257"/>
      <c r="ET25" s="435"/>
      <c r="EU25" s="254"/>
      <c r="EV25" s="255"/>
      <c r="EW25" s="256"/>
      <c r="EY25" s="345"/>
      <c r="EZ25" s="339"/>
      <c r="FA25" s="339"/>
      <c r="FB25" s="339"/>
      <c r="FC25" s="254"/>
      <c r="FD25" s="257"/>
      <c r="FE25" s="435"/>
      <c r="FF25" s="254"/>
      <c r="FG25" s="255"/>
      <c r="FH25" s="256"/>
      <c r="FJ25" s="345"/>
      <c r="FK25" s="339"/>
      <c r="FL25" s="339"/>
      <c r="FM25" s="339"/>
      <c r="FN25" s="254"/>
      <c r="FO25" s="257"/>
      <c r="FP25" s="435"/>
      <c r="FQ25" s="254"/>
      <c r="FR25" s="255"/>
      <c r="FS25" s="256"/>
      <c r="FU25" s="345" t="s">
        <v>815</v>
      </c>
      <c r="FV25" s="380">
        <v>6</v>
      </c>
      <c r="FW25" s="380">
        <v>3.5</v>
      </c>
      <c r="FX25" s="380">
        <v>3.19</v>
      </c>
      <c r="FY25" s="251">
        <v>0.28299999999999997</v>
      </c>
      <c r="FZ25" s="252">
        <v>1</v>
      </c>
      <c r="GA25" s="340">
        <f>((PI()*FX25*FY25/4)*(FV25^2-FW25^2))*FZ25</f>
        <v>16.839555124294964</v>
      </c>
      <c r="GB25" s="254">
        <f>(((GA25/386.4)*(FV25^2+FW25^2))/8)</f>
        <v>0.26284566988458591</v>
      </c>
      <c r="GC25" s="341" t="e">
        <f ca="1">Ratio</f>
        <v>#N/A</v>
      </c>
      <c r="GD25" s="256" t="e">
        <f ca="1">(GB25/(GC25^2))</f>
        <v>#N/A</v>
      </c>
    </row>
    <row r="26" spans="1:186" ht="15.75" x14ac:dyDescent="0.25">
      <c r="A26" s="250"/>
      <c r="B26" s="255"/>
      <c r="C26" s="255"/>
      <c r="D26" s="257"/>
      <c r="E26" s="251"/>
      <c r="F26" s="245"/>
      <c r="G26" s="253"/>
      <c r="H26" s="254"/>
      <c r="I26" s="251"/>
      <c r="J26" s="256"/>
      <c r="L26" s="250"/>
      <c r="M26" s="255"/>
      <c r="N26" s="255"/>
      <c r="O26" s="245"/>
      <c r="P26" s="251"/>
      <c r="Q26" s="245"/>
      <c r="R26" s="253"/>
      <c r="S26" s="254"/>
      <c r="T26" s="255"/>
      <c r="U26" s="256"/>
      <c r="W26" s="250"/>
      <c r="X26" s="378"/>
      <c r="Y26" s="378"/>
      <c r="Z26" s="380"/>
      <c r="AA26" s="380"/>
      <c r="AB26" s="380"/>
      <c r="AC26" s="380"/>
      <c r="AD26" s="380"/>
      <c r="AE26" s="380"/>
      <c r="AF26" s="380"/>
      <c r="AH26" s="250"/>
      <c r="AI26" s="255"/>
      <c r="AJ26" s="255"/>
      <c r="AK26" s="245"/>
      <c r="AL26" s="258"/>
      <c r="AM26" s="380"/>
      <c r="AN26" s="380"/>
      <c r="AO26" s="380"/>
      <c r="AP26" s="380"/>
      <c r="AQ26" s="380"/>
      <c r="AS26" s="250"/>
      <c r="AT26" s="251"/>
      <c r="AU26" s="251"/>
      <c r="AV26" s="251"/>
      <c r="AW26" s="251"/>
      <c r="AX26" s="245"/>
      <c r="AY26" s="253"/>
      <c r="AZ26" s="254"/>
      <c r="BA26" s="251"/>
      <c r="BB26" s="256"/>
      <c r="BD26" s="250"/>
      <c r="BE26" s="251"/>
      <c r="BF26" s="251"/>
      <c r="BG26" s="251"/>
      <c r="BH26" s="251"/>
      <c r="BI26" s="245"/>
      <c r="BJ26" s="253"/>
      <c r="BK26" s="254"/>
      <c r="BL26" s="251"/>
      <c r="BM26" s="245"/>
      <c r="BO26" s="250"/>
      <c r="BP26" s="251"/>
      <c r="BQ26" s="251"/>
      <c r="BR26" s="251"/>
      <c r="BS26" s="251"/>
      <c r="BT26" s="245"/>
      <c r="BU26" s="253"/>
      <c r="BV26" s="254"/>
      <c r="BW26" s="245"/>
      <c r="BX26" s="245"/>
      <c r="BZ26" s="250"/>
      <c r="CA26" s="251"/>
      <c r="CB26" s="251"/>
      <c r="CC26" s="251"/>
      <c r="CD26" s="251"/>
      <c r="CE26" s="245"/>
      <c r="CF26" s="253"/>
      <c r="CG26" s="254"/>
      <c r="CH26" s="245"/>
      <c r="CI26" s="245"/>
      <c r="CK26" s="250"/>
      <c r="CL26" s="251"/>
      <c r="CM26" s="251"/>
      <c r="CN26" s="251"/>
      <c r="CO26" s="251"/>
      <c r="CP26" s="245"/>
      <c r="CQ26" s="253"/>
      <c r="CR26" s="254"/>
      <c r="CS26" s="255"/>
      <c r="CT26" s="245"/>
      <c r="CV26" s="250" t="s">
        <v>597</v>
      </c>
      <c r="CW26" s="251">
        <v>2.6869999999999998</v>
      </c>
      <c r="CX26" s="251">
        <v>1.6539999999999999</v>
      </c>
      <c r="CY26" s="251">
        <v>0.375</v>
      </c>
      <c r="CZ26" s="251">
        <v>0.28299999999999997</v>
      </c>
      <c r="DA26" s="257">
        <v>1</v>
      </c>
      <c r="DB26" s="253">
        <f>((PI()*CY26*CZ26/4)*(CW26^2-CX26^2))*DA26</f>
        <v>0.37376419197220784</v>
      </c>
      <c r="DC26" s="254">
        <f>(((DB26/386.4)*(CW26^2+CX26^2))/8)</f>
        <v>1.2037650619677893E-3</v>
      </c>
      <c r="DD26" s="255">
        <f>IF($DD$37=0,1,$DD$37)</f>
        <v>1</v>
      </c>
      <c r="DE26" s="256">
        <f>(DC26/(DD26^2))</f>
        <v>1.2037650619677893E-3</v>
      </c>
      <c r="DG26" s="345" t="s">
        <v>597</v>
      </c>
      <c r="DH26" s="339">
        <v>2.6869999999999998</v>
      </c>
      <c r="DI26" s="339">
        <v>1.6539999999999999</v>
      </c>
      <c r="DJ26" s="339">
        <v>0.375</v>
      </c>
      <c r="DK26" s="254">
        <v>0.28299999999999997</v>
      </c>
      <c r="DL26" s="257">
        <v>1</v>
      </c>
      <c r="DM26" s="340">
        <f>((PI()*DJ26*DK26/4)*(DH26^2-DI26^2))*DL26</f>
        <v>0.37376419197220784</v>
      </c>
      <c r="DN26" s="254">
        <f>(((DM26/386.4)*(DH26^2+DI26^2))/8)</f>
        <v>1.2037650619677893E-3</v>
      </c>
      <c r="DO26" s="255">
        <f>IF($DO$37=0,1,$DO$37)</f>
        <v>1</v>
      </c>
      <c r="DP26" s="256">
        <f>(DN26/(DO26^2))</f>
        <v>1.2037650619677893E-3</v>
      </c>
      <c r="DR26" s="250" t="s">
        <v>615</v>
      </c>
      <c r="DS26" s="251">
        <v>2.375</v>
      </c>
      <c r="DT26" s="251">
        <v>0.54900000000000004</v>
      </c>
      <c r="DU26" s="251">
        <v>2.375</v>
      </c>
      <c r="DV26" s="251">
        <v>0.28299999999999997</v>
      </c>
      <c r="DW26" s="252">
        <v>1</v>
      </c>
      <c r="DX26" s="340">
        <f>((PI()*DU26*DV26/4)*(DS26^2-DT26^2))*DW26</f>
        <v>2.8185002153278575</v>
      </c>
      <c r="DY26" s="254">
        <f>(((DX26/386.4)*(DS26^2+DT26^2))/8)</f>
        <v>5.4178317677548299E-3</v>
      </c>
      <c r="DZ26" s="341">
        <v>2</v>
      </c>
      <c r="EA26" s="256">
        <f>(DY26/(DZ26^2))</f>
        <v>1.3544579419387075E-3</v>
      </c>
      <c r="EC26" s="345"/>
      <c r="ED26" s="245"/>
      <c r="EE26" s="339"/>
      <c r="EF26" s="339"/>
      <c r="EG26" s="245"/>
      <c r="EH26" s="245"/>
      <c r="EI26" s="435"/>
      <c r="EJ26" s="254"/>
      <c r="EK26" s="255"/>
      <c r="EL26" s="256"/>
      <c r="EN26" s="345"/>
      <c r="EO26" s="245"/>
      <c r="EP26" s="339"/>
      <c r="EQ26" s="339"/>
      <c r="ER26" s="245"/>
      <c r="ES26" s="245"/>
      <c r="ET26" s="435"/>
      <c r="EU26" s="254"/>
      <c r="EV26" s="255"/>
      <c r="EW26" s="256"/>
      <c r="EY26" s="345"/>
      <c r="EZ26" s="339"/>
      <c r="FA26" s="339"/>
      <c r="FB26" s="339"/>
      <c r="FC26" s="254"/>
      <c r="FD26" s="245"/>
      <c r="FE26" s="435"/>
      <c r="FF26" s="254"/>
      <c r="FG26" s="255"/>
      <c r="FH26" s="256"/>
      <c r="FJ26" s="345"/>
      <c r="FK26" s="339"/>
      <c r="FL26" s="339"/>
      <c r="FM26" s="339"/>
      <c r="FN26" s="254"/>
      <c r="FO26" s="245"/>
      <c r="FP26" s="435"/>
      <c r="FQ26" s="254"/>
      <c r="FR26" s="255"/>
      <c r="FS26" s="256"/>
      <c r="FU26" s="250" t="s">
        <v>806</v>
      </c>
      <c r="FV26" s="380"/>
      <c r="FW26" s="380"/>
      <c r="FX26" s="380"/>
      <c r="FY26" s="251"/>
      <c r="FZ26" s="252"/>
      <c r="GA26" s="340"/>
      <c r="GB26" s="254"/>
      <c r="GC26" s="341"/>
      <c r="GD26" s="256"/>
    </row>
    <row r="27" spans="1:186" ht="15.75" x14ac:dyDescent="0.25">
      <c r="A27" s="250" t="s">
        <v>666</v>
      </c>
      <c r="B27" s="257">
        <v>2.25</v>
      </c>
      <c r="C27" s="257">
        <v>1.605</v>
      </c>
      <c r="D27" s="257">
        <f ca="1">VALUE(Width)+1.75</f>
        <v>1.75</v>
      </c>
      <c r="E27" s="257">
        <v>0.28299999999999997</v>
      </c>
      <c r="F27" s="381">
        <f ca="1">SP_Roll</f>
        <v>2</v>
      </c>
      <c r="G27" s="253">
        <f ca="1">((PI()*E27*D27/4)*(B27^2-C27^2))*F27</f>
        <v>1.9343206057995002</v>
      </c>
      <c r="H27" s="254">
        <f ca="1">(((G27/386.4)*(B27^2+C27^2))/8)</f>
        <v>4.7798124694017298E-3</v>
      </c>
      <c r="I27" s="251" t="e">
        <f ca="1">(B27/B7)*Ratio</f>
        <v>#N/A</v>
      </c>
      <c r="J27" s="256" t="e">
        <f ca="1">(H27/(I27^2))</f>
        <v>#N/A</v>
      </c>
      <c r="L27" s="250" t="s">
        <v>666</v>
      </c>
      <c r="M27" s="257">
        <v>2.25</v>
      </c>
      <c r="N27" s="257">
        <v>1.605</v>
      </c>
      <c r="O27" s="257">
        <f ca="1">VALUE(Width)+1.75</f>
        <v>1.75</v>
      </c>
      <c r="P27" s="257">
        <v>0.28299999999999997</v>
      </c>
      <c r="Q27" s="382">
        <f ca="1">SP_Roll</f>
        <v>2</v>
      </c>
      <c r="R27" s="253">
        <f ca="1">((PI()*P27*O27/4)*(M27^2-N27^2))*Q27</f>
        <v>1.9343206057995002</v>
      </c>
      <c r="S27" s="254">
        <f ca="1">(((R27/386.4)*(M27^2+N27^2))/8)</f>
        <v>4.7798124694017298E-3</v>
      </c>
      <c r="T27" s="255" t="e">
        <f ca="1">(M27/M7)*Ratio</f>
        <v>#N/A</v>
      </c>
      <c r="U27" s="256" t="e">
        <f ca="1">(S27/(T27^2))</f>
        <v>#N/A</v>
      </c>
      <c r="W27" s="250" t="s">
        <v>666</v>
      </c>
      <c r="X27" s="380">
        <v>2.25</v>
      </c>
      <c r="Y27" s="380">
        <v>1.75</v>
      </c>
      <c r="Z27" s="380">
        <f ca="1">VALUE(Width)+1.75</f>
        <v>1.75</v>
      </c>
      <c r="AA27" s="380">
        <v>0.28299999999999997</v>
      </c>
      <c r="AB27" s="380">
        <f ca="1">SP_Roll</f>
        <v>2</v>
      </c>
      <c r="AC27" s="386">
        <f ca="1">((PI()*AA27*Z27/4)*(X27^2-Y27^2))*AB27</f>
        <v>1.5558737616903449</v>
      </c>
      <c r="AD27" s="386">
        <f ca="1">(((AC27/386.4)*(X27^2+Y27^2))/8)</f>
        <v>4.0895038540806321E-3</v>
      </c>
      <c r="AE27" s="380" t="e">
        <f ca="1">(X27/X7)*Ratio</f>
        <v>#N/A</v>
      </c>
      <c r="AF27" s="386" t="e">
        <f ca="1">(AD27/(AE27^2))</f>
        <v>#N/A</v>
      </c>
      <c r="AH27" s="250" t="s">
        <v>666</v>
      </c>
      <c r="AI27" s="257">
        <v>2.25</v>
      </c>
      <c r="AJ27" s="257">
        <v>1.75</v>
      </c>
      <c r="AK27" s="257">
        <f ca="1">VALUE(Width)+1.75</f>
        <v>1.75</v>
      </c>
      <c r="AL27" s="258">
        <v>0.28299999999999997</v>
      </c>
      <c r="AM27" s="380">
        <f ca="1">SP_Roll</f>
        <v>2</v>
      </c>
      <c r="AN27" s="380">
        <f ca="1">((PI()*AL27*AK27/4)*(AI27^2-AJ27^2))*AM27</f>
        <v>1.5558737616903449</v>
      </c>
      <c r="AO27" s="380">
        <f ca="1">(((AN27/386.4)*(AI27^2+AJ27^2))/8)</f>
        <v>4.0895038540806321E-3</v>
      </c>
      <c r="AP27" s="386" t="e">
        <f ca="1">(AI27/AI7)*Ratio</f>
        <v>#N/A</v>
      </c>
      <c r="AQ27" s="388" t="e">
        <f ca="1">(AO27/(AP27^2))</f>
        <v>#N/A</v>
      </c>
      <c r="AS27" s="250" t="s">
        <v>597</v>
      </c>
      <c r="AT27" s="251">
        <v>2.5</v>
      </c>
      <c r="AU27" s="251">
        <v>0.94399999999999995</v>
      </c>
      <c r="AV27" s="251">
        <v>0.25</v>
      </c>
      <c r="AW27" s="251">
        <v>0.28299999999999997</v>
      </c>
      <c r="AX27" s="257">
        <v>1</v>
      </c>
      <c r="AY27" s="253">
        <f>((PI()*AV27*AW27/4)*(AT27^2-AU27^2))*AX27</f>
        <v>0.29777556750239176</v>
      </c>
      <c r="AZ27" s="254">
        <f>(((AY27/386.4)*(AT27^2+AU27^2))/8)</f>
        <v>6.8790625809127845E-4</v>
      </c>
      <c r="BA27" s="251">
        <f>IF(BA36=0,1,BA36)</f>
        <v>1</v>
      </c>
      <c r="BB27" s="256">
        <f>(AZ27/(BA27^2))</f>
        <v>6.8790625809127845E-4</v>
      </c>
      <c r="BD27" s="250" t="s">
        <v>597</v>
      </c>
      <c r="BE27" s="251">
        <v>2.5</v>
      </c>
      <c r="BF27" s="251">
        <v>0.94399999999999995</v>
      </c>
      <c r="BG27" s="251">
        <v>0.25</v>
      </c>
      <c r="BH27" s="251">
        <v>0.28299999999999997</v>
      </c>
      <c r="BI27" s="257">
        <v>1</v>
      </c>
      <c r="BJ27" s="253">
        <f>((PI()*BG27*BH27/4)*(BE27^2-BF27^2))*BI27</f>
        <v>0.29777556750239176</v>
      </c>
      <c r="BK27" s="254">
        <f>(((BJ27/386.4)*(BE27^2+BF27^2))/8)</f>
        <v>6.8790625809127845E-4</v>
      </c>
      <c r="BL27" s="251">
        <f>IF(BL36=0,1,BL36)</f>
        <v>1</v>
      </c>
      <c r="BM27" s="256">
        <f>(BK27/(BL27^2))</f>
        <v>6.8790625809127845E-4</v>
      </c>
      <c r="BO27" s="250" t="s">
        <v>597</v>
      </c>
      <c r="BP27" s="251">
        <v>2.5</v>
      </c>
      <c r="BQ27" s="251">
        <v>0.94399999999999995</v>
      </c>
      <c r="BR27" s="251">
        <v>0.25</v>
      </c>
      <c r="BS27" s="251">
        <v>0.28299999999999997</v>
      </c>
      <c r="BT27" s="257">
        <v>1</v>
      </c>
      <c r="BU27" s="253">
        <f>((PI()*BR27*BS27/4)*(BP27^2-BQ27^2))*BT27</f>
        <v>0.29777556750239176</v>
      </c>
      <c r="BV27" s="254">
        <f>(((BU27/386.4)*(BP27^2+BQ27^2))/8)</f>
        <v>6.8790625809127845E-4</v>
      </c>
      <c r="BW27" s="255">
        <f>IF(BW37=0,1,BW37)</f>
        <v>1</v>
      </c>
      <c r="BX27" s="256">
        <f>(BV27/(BW27^2))</f>
        <v>6.8790625809127845E-4</v>
      </c>
      <c r="BZ27" s="250" t="s">
        <v>597</v>
      </c>
      <c r="CA27" s="251">
        <v>2.6869999999999998</v>
      </c>
      <c r="CB27" s="251">
        <v>1.6539999999999999</v>
      </c>
      <c r="CC27" s="251">
        <v>0.375</v>
      </c>
      <c r="CD27" s="251">
        <v>0.28299999999999997</v>
      </c>
      <c r="CE27" s="257">
        <v>1</v>
      </c>
      <c r="CF27" s="253">
        <f>((PI()*CC27*CD27/4)*(CA27^2-CB27^2))*CE27</f>
        <v>0.37376419197220784</v>
      </c>
      <c r="CG27" s="254">
        <f>(((CF27/386.4)*(CA27^2+CB27^2))/8)</f>
        <v>1.2037650619677893E-3</v>
      </c>
      <c r="CH27" s="255">
        <f>IF(CH36=0,1,CH36)</f>
        <v>1</v>
      </c>
      <c r="CI27" s="256">
        <f>(CG27/(CH27^2))</f>
        <v>1.2037650619677893E-3</v>
      </c>
      <c r="CK27" s="250" t="s">
        <v>597</v>
      </c>
      <c r="CL27" s="251">
        <v>2.6869999999999998</v>
      </c>
      <c r="CM27" s="251">
        <v>1.6539999999999999</v>
      </c>
      <c r="CN27" s="251">
        <v>0.375</v>
      </c>
      <c r="CO27" s="251">
        <v>0.28299999999999997</v>
      </c>
      <c r="CP27" s="257">
        <v>1</v>
      </c>
      <c r="CQ27" s="253">
        <f>((PI()*CN27*CO27/4)*(CL27^2-CM27^2))*CP27</f>
        <v>0.37376419197220784</v>
      </c>
      <c r="CR27" s="254">
        <f>(((CQ27/386.4)*(CL27^2+CM27^2))/8)</f>
        <v>1.2037650619677893E-3</v>
      </c>
      <c r="CS27" s="255">
        <f>IF($CS$36=0,1,$CS$36)</f>
        <v>1</v>
      </c>
      <c r="CT27" s="256">
        <f>(CR27/(CS27^2))</f>
        <v>1.2037650619677893E-3</v>
      </c>
      <c r="CV27" s="250" t="s">
        <v>617</v>
      </c>
      <c r="CW27" s="251">
        <v>1.871</v>
      </c>
      <c r="CX27" s="251">
        <v>1.6539999999999999</v>
      </c>
      <c r="CY27" s="251">
        <v>0.875</v>
      </c>
      <c r="CZ27" s="251">
        <v>0.28299999999999997</v>
      </c>
      <c r="DA27" s="257">
        <v>1</v>
      </c>
      <c r="DB27" s="253">
        <f>((PI()*CY27*CZ27/4)*(CW27^2-CX27^2))*DA27</f>
        <v>0.14876584214512345</v>
      </c>
      <c r="DC27" s="254">
        <f>(((DB27/386.4)*(CW27^2+CX27^2))/8)</f>
        <v>3.0012839706995199E-4</v>
      </c>
      <c r="DD27" s="255">
        <f>IF($DD$37=0,1,$DD$37)</f>
        <v>1</v>
      </c>
      <c r="DE27" s="256">
        <f>(DC27/(DD27^2))</f>
        <v>3.0012839706995199E-4</v>
      </c>
      <c r="DG27" s="345" t="s">
        <v>617</v>
      </c>
      <c r="DH27" s="339">
        <v>1.871</v>
      </c>
      <c r="DI27" s="339">
        <v>1.6539999999999999</v>
      </c>
      <c r="DJ27" s="339">
        <v>0.875</v>
      </c>
      <c r="DK27" s="254">
        <v>0.28299999999999997</v>
      </c>
      <c r="DL27" s="245">
        <v>1</v>
      </c>
      <c r="DM27" s="340">
        <f>((PI()*DJ27*DK27/4)*(DH27^2-DI27^2))*DL27</f>
        <v>0.14876584214512345</v>
      </c>
      <c r="DN27" s="254">
        <f>(((DM27/386.4)*(DH27^2+DI27^2))/8)</f>
        <v>3.0012839706995199E-4</v>
      </c>
      <c r="DO27" s="255">
        <f>IF($DO$37=0,1,$DO$37)</f>
        <v>1</v>
      </c>
      <c r="DP27" s="256">
        <f>(DN27/(DO27^2))</f>
        <v>3.0012839706995199E-4</v>
      </c>
      <c r="DR27" s="250" t="s">
        <v>618</v>
      </c>
      <c r="DS27" s="251">
        <v>2.40625</v>
      </c>
      <c r="DT27" s="251">
        <v>1.5</v>
      </c>
      <c r="DU27" s="251">
        <v>3.125</v>
      </c>
      <c r="DV27" s="251">
        <v>0.28299999999999997</v>
      </c>
      <c r="DW27" s="252">
        <v>1</v>
      </c>
      <c r="DX27" s="340">
        <f>((PI()*DU27*DV27/4)*(DS27^2-DT27^2))*DW27</f>
        <v>2.4588633449565345</v>
      </c>
      <c r="DY27" s="254">
        <f>(((DX27/386.4)*(DS27^2+DT27^2))/8)</f>
        <v>6.3953666352225512E-3</v>
      </c>
      <c r="DZ27" s="341">
        <f>IF($DO$37=0,1,$DO$37)</f>
        <v>1</v>
      </c>
      <c r="EA27" s="256">
        <f>(DY27/(DZ27^2))</f>
        <v>6.3953666352225512E-3</v>
      </c>
      <c r="EC27" s="250" t="s">
        <v>605</v>
      </c>
      <c r="ED27" s="255">
        <v>6.5</v>
      </c>
      <c r="EE27" s="339">
        <v>3</v>
      </c>
      <c r="EF27" s="339">
        <v>2</v>
      </c>
      <c r="EG27" s="251">
        <v>0.28299999999999997</v>
      </c>
      <c r="EH27" s="257">
        <v>1</v>
      </c>
      <c r="EI27" s="435">
        <f>((PI()*EF27*EG27/4)*(ED27^2-EE27^2))*EH27</f>
        <v>14.780800736058277</v>
      </c>
      <c r="EJ27" s="254">
        <f>(((EI27/386.4)*(ED27^2+EE27^2))/8)</f>
        <v>0.24505565402529333</v>
      </c>
      <c r="EK27" s="255">
        <f>IF($EH$39=0,1,$EK$39)</f>
        <v>5</v>
      </c>
      <c r="EL27" s="256">
        <f>(EJ27/(EK27^2))</f>
        <v>9.8022261610117341E-3</v>
      </c>
      <c r="EN27" s="250" t="s">
        <v>605</v>
      </c>
      <c r="EO27" s="255">
        <v>6.5</v>
      </c>
      <c r="EP27" s="339">
        <v>3</v>
      </c>
      <c r="EQ27" s="339">
        <v>2</v>
      </c>
      <c r="ER27" s="251">
        <v>0.28299999999999997</v>
      </c>
      <c r="ES27" s="257">
        <v>1</v>
      </c>
      <c r="ET27" s="435">
        <f>((PI()*EQ27*ER27/4)*(EO27^2-EP27^2))*ES27</f>
        <v>14.780800736058277</v>
      </c>
      <c r="EU27" s="254">
        <f>(((ET27/386.4)*(EO27^2+EP27^2))/8)</f>
        <v>0.24505565402529333</v>
      </c>
      <c r="EV27" s="255">
        <f>IF($ES$39=0,1,$EV$39)</f>
        <v>5</v>
      </c>
      <c r="EW27" s="256">
        <f>(EU27/(EV27^2))</f>
        <v>9.8022261610117341E-3</v>
      </c>
      <c r="EY27" s="250" t="s">
        <v>605</v>
      </c>
      <c r="EZ27" s="255">
        <v>6.32</v>
      </c>
      <c r="FA27" s="339">
        <v>3</v>
      </c>
      <c r="FB27" s="339">
        <v>2</v>
      </c>
      <c r="FC27" s="254">
        <v>0.28299999999999997</v>
      </c>
      <c r="FD27" s="257">
        <v>1</v>
      </c>
      <c r="FE27" s="435">
        <f>((PI()*FB27*FC27/4)*(EZ27^2-FA27^2))*FD27</f>
        <v>13.754990938207809</v>
      </c>
      <c r="FF27" s="254">
        <f>(((FE27/386.4)*(EZ27^2+FA27^2))/8)</f>
        <v>0.21778023696109669</v>
      </c>
      <c r="FG27" s="255">
        <f>IF(FD39=0,1,FG39)</f>
        <v>5</v>
      </c>
      <c r="FH27" s="256">
        <f>(FF27/(FG27^2))</f>
        <v>8.7112094784438671E-3</v>
      </c>
      <c r="FJ27" s="250" t="s">
        <v>605</v>
      </c>
      <c r="FK27" s="255">
        <v>6.32</v>
      </c>
      <c r="FL27" s="339">
        <v>3</v>
      </c>
      <c r="FM27" s="339">
        <v>2</v>
      </c>
      <c r="FN27" s="254">
        <v>0.28299999999999997</v>
      </c>
      <c r="FO27" s="257">
        <v>1</v>
      </c>
      <c r="FP27" s="435">
        <f>((PI()*FM27*FN27/4)*(FK27^2-FL27^2))*FO27</f>
        <v>13.754990938207809</v>
      </c>
      <c r="FQ27" s="254">
        <f>(((FP27/386.4)*(FK27^2+FL27^2))/8)</f>
        <v>0.21778023696109669</v>
      </c>
      <c r="FR27" s="255">
        <f>IF(FO39=0,1,FR39)</f>
        <v>5</v>
      </c>
      <c r="FS27" s="256">
        <f>(FQ27/(FR27^2))</f>
        <v>8.7112094784438671E-3</v>
      </c>
      <c r="FU27" s="345"/>
      <c r="FV27" s="380"/>
      <c r="FW27" s="380"/>
      <c r="FX27" s="380"/>
      <c r="FY27" s="251"/>
      <c r="FZ27" s="252"/>
      <c r="GA27" s="340"/>
      <c r="GB27" s="254"/>
      <c r="GC27" s="341"/>
      <c r="GD27" s="256"/>
    </row>
    <row r="28" spans="1:186" ht="15.75" x14ac:dyDescent="0.25">
      <c r="A28" s="248"/>
      <c r="B28" s="245"/>
      <c r="C28" s="245"/>
      <c r="D28" s="245"/>
      <c r="E28" s="245"/>
      <c r="F28" s="245"/>
      <c r="G28" s="245"/>
      <c r="H28" s="245"/>
      <c r="I28" s="245"/>
      <c r="J28" s="245"/>
      <c r="L28" s="248"/>
      <c r="M28" s="245"/>
      <c r="N28" s="245"/>
      <c r="O28" s="245"/>
      <c r="P28" s="245"/>
      <c r="Q28" s="245"/>
      <c r="R28" s="245"/>
      <c r="S28" s="245"/>
      <c r="T28" s="245"/>
      <c r="U28" s="245"/>
      <c r="W28" s="248"/>
      <c r="X28" s="245"/>
      <c r="Y28" s="245"/>
      <c r="Z28" s="245"/>
      <c r="AA28" s="245"/>
      <c r="AB28" s="245"/>
      <c r="AC28" s="245"/>
      <c r="AD28" s="245"/>
      <c r="AE28" s="245"/>
      <c r="AF28" s="245"/>
      <c r="AH28" s="248"/>
      <c r="AI28" s="245"/>
      <c r="AJ28" s="245"/>
      <c r="AK28" s="245"/>
      <c r="AL28" s="245"/>
      <c r="AM28" s="245"/>
      <c r="AN28" s="245"/>
      <c r="AO28" s="245"/>
      <c r="AP28" s="245"/>
      <c r="AQ28" s="245"/>
      <c r="AS28" s="250" t="s">
        <v>616</v>
      </c>
      <c r="AT28" s="251">
        <v>1.625</v>
      </c>
      <c r="AU28" s="251">
        <v>0.94399999999999995</v>
      </c>
      <c r="AV28" s="251">
        <v>1</v>
      </c>
      <c r="AW28" s="251">
        <v>0.28299999999999997</v>
      </c>
      <c r="AX28" s="257">
        <v>1</v>
      </c>
      <c r="AY28" s="253">
        <f>((PI()*AV28*AW28/4)*(AT28^2-AU28^2))*AX28</f>
        <v>0.38885486163798283</v>
      </c>
      <c r="AZ28" s="254">
        <f>(((AY28/386.4)*(AT28^2+AU28^2))/8)</f>
        <v>4.4427485604083336E-4</v>
      </c>
      <c r="BA28" s="251">
        <f>IF(BA36=0,1,BA36)</f>
        <v>1</v>
      </c>
      <c r="BB28" s="256">
        <f>(AZ28/(BA28^2))</f>
        <v>4.4427485604083336E-4</v>
      </c>
      <c r="BD28" s="250" t="s">
        <v>616</v>
      </c>
      <c r="BE28" s="251">
        <v>1.625</v>
      </c>
      <c r="BF28" s="251">
        <v>0.94399999999999995</v>
      </c>
      <c r="BG28" s="251">
        <v>1</v>
      </c>
      <c r="BH28" s="251">
        <v>0.28299999999999997</v>
      </c>
      <c r="BI28" s="257">
        <v>1</v>
      </c>
      <c r="BJ28" s="253">
        <f>((PI()*BG28*BH28/4)*(BE28^2-BF28^2))*BI28</f>
        <v>0.38885486163798283</v>
      </c>
      <c r="BK28" s="254">
        <f>(((BJ28/386.4)*(BE28^2+BF28^2))/8)</f>
        <v>4.4427485604083336E-4</v>
      </c>
      <c r="BL28" s="251">
        <f>IF(BL36=0,1,BL36)</f>
        <v>1</v>
      </c>
      <c r="BM28" s="256">
        <f>(BK28/(BL28^2))</f>
        <v>4.4427485604083336E-4</v>
      </c>
      <c r="BO28" s="250" t="s">
        <v>617</v>
      </c>
      <c r="BP28" s="251">
        <v>1.625</v>
      </c>
      <c r="BQ28" s="251">
        <v>0.94399999999999995</v>
      </c>
      <c r="BR28" s="251">
        <v>1</v>
      </c>
      <c r="BS28" s="251">
        <v>0.28299999999999997</v>
      </c>
      <c r="BT28" s="257">
        <v>1</v>
      </c>
      <c r="BU28" s="253">
        <f>((PI()*BR28*BS28/4)*(BP28^2-BQ28^2))*BT28</f>
        <v>0.38885486163798283</v>
      </c>
      <c r="BV28" s="254">
        <f>(((BU28/386.4)*(BP28^2+BQ28^2))/8)</f>
        <v>4.4427485604083336E-4</v>
      </c>
      <c r="BW28" s="255">
        <f>IF(BW37=0,1,BW37)</f>
        <v>1</v>
      </c>
      <c r="BX28" s="256">
        <f>(BV28/(BW28^2))</f>
        <v>4.4427485604083336E-4</v>
      </c>
      <c r="BZ28" s="250" t="s">
        <v>617</v>
      </c>
      <c r="CA28" s="251">
        <v>1.871</v>
      </c>
      <c r="CB28" s="251">
        <v>1.6539999999999999</v>
      </c>
      <c r="CC28" s="251">
        <v>0.875</v>
      </c>
      <c r="CD28" s="251">
        <v>0.28299999999999997</v>
      </c>
      <c r="CE28" s="257">
        <v>1</v>
      </c>
      <c r="CF28" s="253">
        <f>((PI()*CC28*CD28/4)*(CA28^2-CB28^2))*CE28</f>
        <v>0.14876584214512345</v>
      </c>
      <c r="CG28" s="254">
        <f>(((CF28/386.4)*(CA28^2+CB28^2))/8)</f>
        <v>3.0012839706995199E-4</v>
      </c>
      <c r="CH28" s="255">
        <f>IF(CH36=0,1,CH36)</f>
        <v>1</v>
      </c>
      <c r="CI28" s="256">
        <f>(CG28/(CH28^2))</f>
        <v>3.0012839706995199E-4</v>
      </c>
      <c r="CK28" s="250" t="s">
        <v>617</v>
      </c>
      <c r="CL28" s="251">
        <v>1.871</v>
      </c>
      <c r="CM28" s="251">
        <v>1.6539999999999999</v>
      </c>
      <c r="CN28" s="251">
        <v>0.875</v>
      </c>
      <c r="CO28" s="251">
        <v>0.28299999999999997</v>
      </c>
      <c r="CP28" s="257">
        <v>1</v>
      </c>
      <c r="CQ28" s="253">
        <f>((PI()*CN28*CO28/4)*(CL28^2-CM28^2))*CP28</f>
        <v>0.14876584214512345</v>
      </c>
      <c r="CR28" s="254">
        <f>(((CQ28/386.4)*(CL28^2+CM28^2))/8)</f>
        <v>3.0012839706995199E-4</v>
      </c>
      <c r="CS28" s="255">
        <f>IF($CS$36=0,1,$CS$36)</f>
        <v>1</v>
      </c>
      <c r="CT28" s="256">
        <f>(CR28/(CS28^2))</f>
        <v>3.0012839706995199E-4</v>
      </c>
      <c r="CV28" s="345"/>
      <c r="CW28" s="255"/>
      <c r="CX28" s="339"/>
      <c r="CY28" s="339"/>
      <c r="CZ28" s="251"/>
      <c r="DA28" s="257"/>
      <c r="DB28" s="253"/>
      <c r="DC28" s="254"/>
      <c r="DD28" s="255"/>
      <c r="DE28" s="256"/>
      <c r="DG28" s="250"/>
      <c r="DH28" s="339"/>
      <c r="DI28" s="339"/>
      <c r="DJ28" s="339"/>
      <c r="DK28" s="254"/>
      <c r="DL28" s="257"/>
      <c r="DM28" s="340"/>
      <c r="DN28" s="254"/>
      <c r="DO28" s="255"/>
      <c r="DP28" s="256"/>
      <c r="DR28" s="345"/>
      <c r="DS28" s="258"/>
      <c r="DT28" s="258"/>
      <c r="DU28" s="258"/>
      <c r="DV28" s="245"/>
      <c r="DW28" s="245"/>
      <c r="DX28" s="340"/>
      <c r="DY28" s="254"/>
      <c r="DZ28" s="341"/>
      <c r="EA28" s="256"/>
      <c r="EC28" s="345" t="s">
        <v>805</v>
      </c>
      <c r="ED28" s="255">
        <v>3</v>
      </c>
      <c r="EE28" s="339">
        <v>1.5740000000000001</v>
      </c>
      <c r="EF28" s="339">
        <v>2</v>
      </c>
      <c r="EG28" s="251">
        <v>0.28299999999999997</v>
      </c>
      <c r="EH28" s="257">
        <v>1</v>
      </c>
      <c r="EI28" s="435">
        <f>((PI()*EF28*EG28/4)*(ED28^2-EE28^2))*EH28</f>
        <v>2.8994925575987298</v>
      </c>
      <c r="EJ28" s="254">
        <f>(((EI28/386.4)*(ED28^2+EE28^2))/8)</f>
        <v>1.0765675544131095E-2</v>
      </c>
      <c r="EK28" s="255">
        <f>IF($EH$39=0,1,$EK$39)</f>
        <v>5</v>
      </c>
      <c r="EL28" s="256">
        <f>(EJ28/(EK28^2))</f>
        <v>4.3062702176524379E-4</v>
      </c>
      <c r="EN28" s="345" t="s">
        <v>805</v>
      </c>
      <c r="EO28" s="255">
        <v>3</v>
      </c>
      <c r="EP28" s="339">
        <v>1.5740000000000001</v>
      </c>
      <c r="EQ28" s="339">
        <v>2</v>
      </c>
      <c r="ER28" s="251">
        <v>0.28299999999999997</v>
      </c>
      <c r="ES28" s="257">
        <v>1</v>
      </c>
      <c r="ET28" s="435">
        <f>((PI()*EQ28*ER28/4)*(EO28^2-EP28^2))*ES28</f>
        <v>2.8994925575987298</v>
      </c>
      <c r="EU28" s="254">
        <f>(((ET28/386.4)*(EO28^2+EP28^2))/8)</f>
        <v>1.0765675544131095E-2</v>
      </c>
      <c r="EV28" s="255">
        <f>IF($ES$39=0,1,$EV$39)</f>
        <v>5</v>
      </c>
      <c r="EW28" s="256">
        <f>(EU28/(EV28^2))</f>
        <v>4.3062702176524379E-4</v>
      </c>
      <c r="EY28" s="345" t="s">
        <v>805</v>
      </c>
      <c r="EZ28" s="255">
        <v>3</v>
      </c>
      <c r="FA28" s="339">
        <v>1.5740000000000001</v>
      </c>
      <c r="FB28" s="339">
        <v>2</v>
      </c>
      <c r="FC28" s="254">
        <v>0.28299999999999997</v>
      </c>
      <c r="FD28" s="257">
        <v>1</v>
      </c>
      <c r="FE28" s="435">
        <f>((PI()*FB28*FC28/4)*(EZ28^2-FA28^2))*FD28</f>
        <v>2.8994925575987298</v>
      </c>
      <c r="FF28" s="254">
        <f>(((FE28/386.4)*(EZ28^2+FA28^2))/8)</f>
        <v>1.0765675544131095E-2</v>
      </c>
      <c r="FG28" s="255">
        <f>IF(FD39=0,1,FG39)</f>
        <v>5</v>
      </c>
      <c r="FH28" s="256">
        <f>(FF28/(FG28^2))</f>
        <v>4.3062702176524379E-4</v>
      </c>
      <c r="FJ28" s="345" t="s">
        <v>805</v>
      </c>
      <c r="FK28" s="255">
        <v>3</v>
      </c>
      <c r="FL28" s="339">
        <v>1.5740000000000001</v>
      </c>
      <c r="FM28" s="339">
        <v>2</v>
      </c>
      <c r="FN28" s="254">
        <v>0.28299999999999997</v>
      </c>
      <c r="FO28" s="257">
        <v>1</v>
      </c>
      <c r="FP28" s="435">
        <f>((PI()*FM28*FN28/4)*(FK28^2-FL28^2))*FO28</f>
        <v>2.8994925575987298</v>
      </c>
      <c r="FQ28" s="254">
        <f>(((FP28/386.4)*(FK28^2+FL28^2))/8)</f>
        <v>1.0765675544131095E-2</v>
      </c>
      <c r="FR28" s="255">
        <f>IF(FO39=0,1,FR39)</f>
        <v>5</v>
      </c>
      <c r="FS28" s="256">
        <f>(FQ28/(FR28^2))</f>
        <v>4.3062702176524379E-4</v>
      </c>
      <c r="FU28" s="345"/>
      <c r="FV28" s="379"/>
      <c r="FW28" s="379"/>
      <c r="FX28" s="380"/>
    </row>
    <row r="29" spans="1:186" ht="15.75" x14ac:dyDescent="0.25">
      <c r="A29" s="248"/>
      <c r="B29" s="338" t="s">
        <v>619</v>
      </c>
      <c r="C29" s="338" t="s">
        <v>620</v>
      </c>
      <c r="D29" s="338"/>
      <c r="E29" s="338" t="s">
        <v>621</v>
      </c>
      <c r="F29" s="338"/>
      <c r="G29" s="245"/>
      <c r="H29" s="338" t="s">
        <v>576</v>
      </c>
      <c r="I29" s="338" t="s">
        <v>103</v>
      </c>
      <c r="J29" s="338" t="s">
        <v>577</v>
      </c>
      <c r="L29" s="248"/>
      <c r="M29" s="338" t="s">
        <v>619</v>
      </c>
      <c r="N29" s="338" t="s">
        <v>620</v>
      </c>
      <c r="O29" s="338"/>
      <c r="P29" s="338" t="s">
        <v>621</v>
      </c>
      <c r="Q29" s="338"/>
      <c r="R29" s="245"/>
      <c r="S29" s="338" t="s">
        <v>576</v>
      </c>
      <c r="T29" s="338" t="s">
        <v>103</v>
      </c>
      <c r="U29" s="338" t="s">
        <v>577</v>
      </c>
      <c r="W29" s="248"/>
      <c r="X29" s="338" t="s">
        <v>619</v>
      </c>
      <c r="Y29" s="338" t="s">
        <v>620</v>
      </c>
      <c r="Z29" s="338"/>
      <c r="AA29" s="338" t="s">
        <v>621</v>
      </c>
      <c r="AB29" s="338"/>
      <c r="AC29" s="245"/>
      <c r="AD29" s="338" t="s">
        <v>576</v>
      </c>
      <c r="AE29" s="338" t="s">
        <v>103</v>
      </c>
      <c r="AF29" s="338" t="s">
        <v>577</v>
      </c>
      <c r="AH29" s="248"/>
      <c r="AI29" s="338" t="s">
        <v>619</v>
      </c>
      <c r="AJ29" s="338" t="s">
        <v>620</v>
      </c>
      <c r="AK29" s="338"/>
      <c r="AL29" s="338" t="s">
        <v>621</v>
      </c>
      <c r="AM29" s="338"/>
      <c r="AN29" s="245"/>
      <c r="AO29" s="338" t="s">
        <v>576</v>
      </c>
      <c r="AP29" s="338" t="s">
        <v>103</v>
      </c>
      <c r="AQ29" s="338" t="s">
        <v>577</v>
      </c>
      <c r="AS29" s="248"/>
      <c r="AT29" s="258"/>
      <c r="AU29" s="258"/>
      <c r="AV29" s="258"/>
      <c r="AW29" s="258"/>
      <c r="AX29" s="258"/>
      <c r="AY29" s="253"/>
      <c r="AZ29" s="254"/>
      <c r="BA29" s="251"/>
      <c r="BB29" s="256"/>
      <c r="BD29" s="248"/>
      <c r="BE29" s="258"/>
      <c r="BF29" s="258"/>
      <c r="BG29" s="258"/>
      <c r="BH29" s="258"/>
      <c r="BI29" s="258"/>
      <c r="BJ29" s="258"/>
      <c r="BK29" s="258"/>
      <c r="BL29" s="258"/>
      <c r="BM29" s="258"/>
      <c r="BO29" s="248"/>
      <c r="BP29" s="258"/>
      <c r="BQ29" s="258"/>
      <c r="BR29" s="258"/>
      <c r="BS29" s="258"/>
      <c r="BT29" s="258"/>
      <c r="BU29" s="258"/>
      <c r="BV29" s="258"/>
      <c r="BW29" s="258"/>
      <c r="BX29" s="258"/>
      <c r="BZ29" s="248"/>
      <c r="CA29" s="258"/>
      <c r="CB29" s="258"/>
      <c r="CC29" s="258"/>
      <c r="CD29" s="258"/>
      <c r="CE29" s="258"/>
      <c r="CF29" s="258"/>
      <c r="CG29" s="258"/>
      <c r="CH29" s="258"/>
      <c r="CI29" s="258"/>
      <c r="CK29" s="250"/>
      <c r="CL29" s="251"/>
      <c r="CM29" s="251"/>
      <c r="CN29" s="251"/>
      <c r="CO29" s="251"/>
      <c r="CP29" s="245"/>
      <c r="CQ29" s="253"/>
      <c r="CR29" s="254"/>
      <c r="CS29" s="245"/>
      <c r="CT29" s="245"/>
      <c r="CV29" s="250"/>
      <c r="CW29" s="255"/>
      <c r="CX29" s="339"/>
      <c r="CY29" s="339"/>
      <c r="CZ29" s="251"/>
      <c r="DA29" s="257"/>
      <c r="DB29" s="253"/>
      <c r="DC29" s="254"/>
      <c r="DD29" s="255"/>
      <c r="DE29" s="256"/>
      <c r="DG29" s="345"/>
      <c r="DH29" s="339"/>
      <c r="DI29" s="339"/>
      <c r="DJ29" s="339"/>
      <c r="DK29" s="254"/>
      <c r="DL29" s="257"/>
      <c r="DM29" s="340"/>
      <c r="DN29" s="254"/>
      <c r="DO29" s="255"/>
      <c r="DP29" s="256"/>
      <c r="DR29" s="250"/>
      <c r="DS29" s="341"/>
      <c r="DT29" s="341"/>
      <c r="DU29" s="258"/>
      <c r="DV29" s="251"/>
      <c r="DW29" s="257"/>
      <c r="DX29" s="340"/>
      <c r="DY29" s="254"/>
      <c r="DZ29" s="341"/>
      <c r="EA29" s="256"/>
      <c r="EC29" s="250" t="s">
        <v>804</v>
      </c>
      <c r="ED29" s="255"/>
      <c r="EE29" s="339"/>
      <c r="EF29" s="339"/>
      <c r="EG29" s="251"/>
      <c r="EH29" s="257"/>
      <c r="EI29" s="435"/>
      <c r="EJ29" s="254"/>
      <c r="EK29" s="255"/>
      <c r="EL29" s="256"/>
      <c r="EN29" s="250" t="s">
        <v>804</v>
      </c>
      <c r="EO29" s="255"/>
      <c r="EP29" s="339"/>
      <c r="EQ29" s="339"/>
      <c r="ER29" s="251"/>
      <c r="ES29" s="257"/>
      <c r="ET29" s="435"/>
      <c r="EU29" s="254"/>
      <c r="EV29" s="255"/>
      <c r="EW29" s="256"/>
      <c r="EY29" s="250" t="s">
        <v>804</v>
      </c>
      <c r="EZ29" s="339"/>
      <c r="FA29" s="339"/>
      <c r="FB29" s="339"/>
      <c r="FC29" s="254"/>
      <c r="FD29" s="257"/>
      <c r="FE29" s="435"/>
      <c r="FF29" s="254"/>
      <c r="FG29" s="255"/>
      <c r="FH29" s="256"/>
      <c r="FJ29" s="250" t="s">
        <v>804</v>
      </c>
      <c r="FK29" s="339"/>
      <c r="FL29" s="339"/>
      <c r="FM29" s="339"/>
      <c r="FN29" s="254"/>
      <c r="FO29" s="257"/>
      <c r="FP29" s="435"/>
      <c r="FQ29" s="254"/>
      <c r="FR29" s="255"/>
      <c r="FS29" s="256"/>
      <c r="FU29" s="250" t="s">
        <v>605</v>
      </c>
      <c r="FV29" s="378">
        <v>6.32</v>
      </c>
      <c r="FW29" s="378">
        <v>3</v>
      </c>
      <c r="FX29" s="380">
        <v>3.31</v>
      </c>
      <c r="FY29" s="251">
        <v>0.28299999999999997</v>
      </c>
      <c r="FZ29" s="252">
        <v>1</v>
      </c>
      <c r="GA29" s="340">
        <f>((PI()*FX29*FY29/4)*(FV29^2-FW29^2))*FZ29</f>
        <v>22.764510002733928</v>
      </c>
      <c r="GB29" s="254">
        <f>(((GA29/386.4)*(FV29^2+FW29^2))/8)</f>
        <v>0.360426292170615</v>
      </c>
      <c r="GC29" s="341">
        <f>IF($EV$39=0,1,$EV$39)</f>
        <v>5</v>
      </c>
      <c r="GD29" s="256">
        <f>(GB29/(GC29^2))</f>
        <v>1.4417051686824601E-2</v>
      </c>
    </row>
    <row r="30" spans="1:186" ht="15.75" x14ac:dyDescent="0.25">
      <c r="A30" s="248"/>
      <c r="B30" s="338"/>
      <c r="C30" s="338"/>
      <c r="D30" s="338"/>
      <c r="E30" s="338"/>
      <c r="F30" s="338"/>
      <c r="G30" s="245"/>
      <c r="H30" s="338"/>
      <c r="I30" s="338"/>
      <c r="J30" s="338"/>
      <c r="L30" s="248"/>
      <c r="M30" s="338"/>
      <c r="N30" s="338"/>
      <c r="O30" s="338"/>
      <c r="P30" s="338"/>
      <c r="Q30" s="338"/>
      <c r="R30" s="245"/>
      <c r="S30" s="338"/>
      <c r="T30" s="338"/>
      <c r="U30" s="338"/>
      <c r="W30" s="248"/>
      <c r="X30" s="338"/>
      <c r="Y30" s="338"/>
      <c r="Z30" s="338"/>
      <c r="AA30" s="338"/>
      <c r="AB30" s="338"/>
      <c r="AC30" s="245"/>
      <c r="AD30" s="338"/>
      <c r="AE30" s="338"/>
      <c r="AF30" s="338"/>
      <c r="AH30" s="248"/>
      <c r="AI30" s="338"/>
      <c r="AJ30" s="338"/>
      <c r="AK30" s="338"/>
      <c r="AL30" s="338"/>
      <c r="AM30" s="338"/>
      <c r="AN30" s="245"/>
      <c r="AO30" s="338"/>
      <c r="AP30" s="338"/>
      <c r="AQ30" s="338"/>
      <c r="AS30" s="248"/>
      <c r="AT30" s="245"/>
      <c r="AU30" s="245"/>
      <c r="AV30" s="245"/>
      <c r="AW30" s="245"/>
      <c r="AX30" s="245"/>
      <c r="AY30" s="253"/>
      <c r="AZ30" s="254"/>
      <c r="BA30" s="251"/>
      <c r="BB30" s="256"/>
      <c r="BD30" s="248"/>
      <c r="BE30" s="245"/>
      <c r="BF30" s="245"/>
      <c r="BG30" s="245"/>
      <c r="BH30" s="245"/>
      <c r="BI30" s="245"/>
      <c r="BJ30" s="245"/>
      <c r="BK30" s="245"/>
      <c r="BL30" s="245"/>
      <c r="BM30" s="245"/>
      <c r="BO30" s="248"/>
      <c r="BP30" s="245"/>
      <c r="BQ30" s="245"/>
      <c r="BR30" s="245"/>
      <c r="BS30" s="245"/>
      <c r="BT30" s="245"/>
      <c r="BU30" s="245"/>
      <c r="BV30" s="245"/>
      <c r="BW30" s="245"/>
      <c r="BX30" s="245"/>
      <c r="BZ30" s="248"/>
      <c r="CA30" s="245"/>
      <c r="CB30" s="245"/>
      <c r="CC30" s="245"/>
      <c r="CD30" s="245"/>
      <c r="CE30" s="245"/>
      <c r="CF30" s="245"/>
      <c r="CG30" s="245"/>
      <c r="CH30" s="245"/>
      <c r="CI30" s="245"/>
      <c r="CK30" s="248"/>
      <c r="CL30" s="245"/>
      <c r="CM30" s="245"/>
      <c r="CN30" s="245"/>
      <c r="CO30" s="245"/>
      <c r="CP30" s="245"/>
      <c r="CQ30" s="245"/>
      <c r="CR30" s="245"/>
      <c r="CS30" s="245"/>
      <c r="CT30" s="245"/>
      <c r="CV30" s="250" t="s">
        <v>665</v>
      </c>
      <c r="CW30" s="255">
        <v>2.25</v>
      </c>
      <c r="CX30" s="255">
        <v>2</v>
      </c>
      <c r="CY30" s="257">
        <f ca="1">VALUE(Width)+1.625</f>
        <v>1.625</v>
      </c>
      <c r="CZ30" s="251">
        <v>0.28299999999999997</v>
      </c>
      <c r="DA30" s="381">
        <v>5</v>
      </c>
      <c r="DB30" s="253">
        <f ca="1">((PI()*CY30*CZ30/4)*(CW30^2-CX30^2))*DA30</f>
        <v>1.9187952083346334</v>
      </c>
      <c r="DC30" s="254">
        <f ca="1">(((DB30/386.4)*(CW30^2+CX30^2))/8)</f>
        <v>5.6253498885651581E-3</v>
      </c>
      <c r="DD30" s="255">
        <f>IF($DD$37=0,1,$DD$37)</f>
        <v>1</v>
      </c>
      <c r="DE30" s="256">
        <f ca="1">(DC30/(DD30^2))</f>
        <v>5.6253498885651581E-3</v>
      </c>
      <c r="DG30" s="250" t="s">
        <v>665</v>
      </c>
      <c r="DH30" s="339">
        <v>3</v>
      </c>
      <c r="DI30" s="339">
        <v>2</v>
      </c>
      <c r="DJ30" s="339">
        <f ca="1">VALUE(Width)+1.625</f>
        <v>1.625</v>
      </c>
      <c r="DK30" s="254">
        <v>0.28299999999999997</v>
      </c>
      <c r="DL30" s="257">
        <f ca="1">S_Roll</f>
        <v>5</v>
      </c>
      <c r="DM30" s="340">
        <f ca="1">((PI()*DJ30*DK30/4)*(DH30^2-DI30^2))*DL30</f>
        <v>9.0296245098100396</v>
      </c>
      <c r="DN30" s="254">
        <f ca="1">(((DM30/386.4)*(DH30^2+DI30^2))/8)</f>
        <v>3.7973964359320177E-2</v>
      </c>
      <c r="DO30" s="255" t="e">
        <f ca="1">(DH30/DH6)*Ratio</f>
        <v>#N/A</v>
      </c>
      <c r="DP30" s="256" t="e">
        <f ca="1">(DN30/(DO30^2))</f>
        <v>#N/A</v>
      </c>
      <c r="DR30" s="345" t="s">
        <v>665</v>
      </c>
      <c r="DS30" s="341">
        <v>3.5</v>
      </c>
      <c r="DT30" s="341">
        <v>2.25</v>
      </c>
      <c r="DU30" s="258">
        <f ca="1">VALUE(Width)+1.625</f>
        <v>1.625</v>
      </c>
      <c r="DV30" s="251">
        <v>0.28299999999999997</v>
      </c>
      <c r="DW30" s="257">
        <v>6</v>
      </c>
      <c r="DX30" s="340">
        <f ca="1">((PI()*DU30*DV30/4)*(DS30^2-DT30^2))*DW30</f>
        <v>15.576102279422315</v>
      </c>
      <c r="DY30" s="254">
        <f ca="1">(((DX30/386.4)*(DS30^2+DT30^2))/8)</f>
        <v>8.7235141923039217E-2</v>
      </c>
      <c r="DZ30" s="341" t="e">
        <f ca="1">(DS30/DS6)*Ratio</f>
        <v>#N/A</v>
      </c>
      <c r="EA30" s="256" t="e">
        <f ca="1">(DY30/(DZ30^2))</f>
        <v>#N/A</v>
      </c>
      <c r="EC30" s="250"/>
      <c r="ED30" s="255"/>
      <c r="EE30" s="339"/>
      <c r="EF30" s="339"/>
      <c r="EG30" s="251"/>
      <c r="EH30" s="257"/>
      <c r="EI30" s="435"/>
      <c r="EJ30" s="254"/>
      <c r="EK30" s="255"/>
      <c r="EL30" s="256"/>
      <c r="EN30" s="250"/>
      <c r="EO30" s="255"/>
      <c r="EP30" s="339"/>
      <c r="EQ30" s="339"/>
      <c r="ER30" s="251"/>
      <c r="ES30" s="257"/>
      <c r="ET30" s="435"/>
      <c r="EU30" s="254"/>
      <c r="EV30" s="255"/>
      <c r="EW30" s="256"/>
      <c r="EY30" s="250"/>
      <c r="EZ30" s="339"/>
      <c r="FA30" s="339"/>
      <c r="FB30" s="339"/>
      <c r="FC30" s="251"/>
      <c r="FD30" s="252"/>
      <c r="FE30" s="340"/>
      <c r="FF30" s="254"/>
      <c r="FG30" s="341"/>
      <c r="FH30" s="256"/>
      <c r="FJ30" s="250"/>
      <c r="FK30" s="339"/>
      <c r="FL30" s="339"/>
      <c r="FM30" s="339"/>
      <c r="FN30" s="251"/>
      <c r="FO30" s="252"/>
      <c r="FP30" s="340"/>
      <c r="FQ30" s="254"/>
      <c r="FR30" s="341"/>
      <c r="FS30" s="256"/>
      <c r="FU30" s="345" t="s">
        <v>815</v>
      </c>
      <c r="FV30" s="378">
        <v>3</v>
      </c>
      <c r="FW30" s="378">
        <v>1.57</v>
      </c>
      <c r="FX30" s="380">
        <v>3.47</v>
      </c>
      <c r="FY30" s="251">
        <v>0.28299999999999997</v>
      </c>
      <c r="FZ30" s="252">
        <v>1</v>
      </c>
      <c r="GA30" s="340">
        <f>((PI()*FX30*FY30/4)*(FV30^2-FW30^2))*FZ30</f>
        <v>5.040319064496904</v>
      </c>
      <c r="GB30" s="254">
        <f>(((GA30/386.4)*(FV30^2+FW30^2))/8)</f>
        <v>1.8693955112108748E-2</v>
      </c>
      <c r="GC30" s="341">
        <f>IF($EV$39=0,1,$EV$39)</f>
        <v>5</v>
      </c>
      <c r="GD30" s="256">
        <f>(GB30/(GC30^2))</f>
        <v>7.4775820448434987E-4</v>
      </c>
    </row>
    <row r="31" spans="1:186" ht="15.75" x14ac:dyDescent="0.25">
      <c r="A31" s="248"/>
      <c r="B31" s="338"/>
      <c r="C31" s="338"/>
      <c r="D31" s="338"/>
      <c r="E31" s="338"/>
      <c r="F31" s="338"/>
      <c r="G31" s="245"/>
      <c r="H31" s="338"/>
      <c r="I31" s="338"/>
      <c r="J31" s="338"/>
      <c r="L31" s="248"/>
      <c r="M31" s="338"/>
      <c r="N31" s="338"/>
      <c r="O31" s="338"/>
      <c r="P31" s="338"/>
      <c r="Q31" s="338"/>
      <c r="R31" s="245"/>
      <c r="S31" s="338"/>
      <c r="T31" s="338"/>
      <c r="U31" s="338"/>
      <c r="W31" s="248"/>
      <c r="X31" s="338"/>
      <c r="Y31" s="338"/>
      <c r="Z31" s="338"/>
      <c r="AA31" s="338"/>
      <c r="AB31" s="338"/>
      <c r="AC31" s="245"/>
      <c r="AD31" s="338"/>
      <c r="AE31" s="338"/>
      <c r="AF31" s="338"/>
      <c r="AH31" s="248"/>
      <c r="AI31" s="338"/>
      <c r="AJ31" s="338"/>
      <c r="AK31" s="338"/>
      <c r="AL31" s="338"/>
      <c r="AM31" s="338"/>
      <c r="AN31" s="245"/>
      <c r="AO31" s="338"/>
      <c r="AP31" s="338"/>
      <c r="AQ31" s="338"/>
      <c r="AS31" s="250" t="s">
        <v>665</v>
      </c>
      <c r="AT31" s="257">
        <v>2.25</v>
      </c>
      <c r="AU31" s="257">
        <v>1.605</v>
      </c>
      <c r="AV31" s="257">
        <f ca="1">VALUE(Width)+1.75</f>
        <v>1.75</v>
      </c>
      <c r="AW31" s="257">
        <v>0.28299999999999997</v>
      </c>
      <c r="AX31" s="381">
        <f ca="1">S_Roll</f>
        <v>5</v>
      </c>
      <c r="AY31" s="253">
        <f ca="1">((PI()*AV31*AW31/4)*(AT31^2-AU31^2))*AX31</f>
        <v>4.8358015144987503</v>
      </c>
      <c r="AZ31" s="254">
        <f ca="1">(((AY31/386.4)*(AT31^2+AU31^2))/8)</f>
        <v>1.1949531173504323E-2</v>
      </c>
      <c r="BA31" s="251" t="e">
        <f ca="1">(AT31/AT7)*Ratio</f>
        <v>#N/A</v>
      </c>
      <c r="BB31" s="256" t="e">
        <f ca="1">(AZ31/(BA31^2))</f>
        <v>#N/A</v>
      </c>
      <c r="BD31" s="250" t="s">
        <v>665</v>
      </c>
      <c r="BE31" s="257">
        <v>2.25</v>
      </c>
      <c r="BF31" s="257">
        <v>1.605</v>
      </c>
      <c r="BG31" s="257">
        <f ca="1">VALUE(Width)+1.75</f>
        <v>1.75</v>
      </c>
      <c r="BH31" s="257">
        <v>0.28299999999999997</v>
      </c>
      <c r="BI31" s="381">
        <f ca="1">S_Roll</f>
        <v>5</v>
      </c>
      <c r="BJ31" s="253">
        <f ca="1">((PI()*BG31*BH31/4)*(BE31^2-BF31^2))*BI31</f>
        <v>4.8358015144987503</v>
      </c>
      <c r="BK31" s="254">
        <f ca="1">(((BJ31/386.4)*(BE31^2+BF31^2))/8)</f>
        <v>1.1949531173504323E-2</v>
      </c>
      <c r="BL31" s="251" t="e">
        <f ca="1">(BE31/BE7)*Ratio</f>
        <v>#N/A</v>
      </c>
      <c r="BM31" s="256" t="e">
        <f ca="1">(BK31/(BL31^2))</f>
        <v>#N/A</v>
      </c>
      <c r="BO31" s="250" t="s">
        <v>665</v>
      </c>
      <c r="BP31" s="257">
        <v>2.25</v>
      </c>
      <c r="BQ31" s="257">
        <v>1.605</v>
      </c>
      <c r="BR31" s="257">
        <f ca="1">VALUE(Width)+1.75</f>
        <v>1.75</v>
      </c>
      <c r="BS31" s="257">
        <v>0.28299999999999997</v>
      </c>
      <c r="BT31" s="381">
        <f ca="1">S_Roll</f>
        <v>5</v>
      </c>
      <c r="BU31" s="253">
        <f ca="1">((PI()*BR31*BS31/4)*(BP31^2-BQ31^2))*BT31</f>
        <v>4.8358015144987503</v>
      </c>
      <c r="BV31" s="254">
        <f ca="1">(((BU31/386.4)*(BP31^2+BQ31^2))/8)</f>
        <v>1.1949531173504323E-2</v>
      </c>
      <c r="BW31" s="251" t="e">
        <f ca="1">(BP31/BP7)*Ratio</f>
        <v>#N/A</v>
      </c>
      <c r="BX31" s="256" t="e">
        <f ca="1">(BV31/(BW31^2))</f>
        <v>#N/A</v>
      </c>
      <c r="BZ31" s="250" t="s">
        <v>665</v>
      </c>
      <c r="CA31" s="257">
        <v>2.25</v>
      </c>
      <c r="CB31" s="257">
        <v>1.5</v>
      </c>
      <c r="CC31" s="257">
        <f ca="1">VALUE(Width)+1.625</f>
        <v>1.625</v>
      </c>
      <c r="CD31" s="257">
        <v>0.28299999999999997</v>
      </c>
      <c r="CE31" s="381">
        <f ca="1">S_Roll</f>
        <v>5</v>
      </c>
      <c r="CF31" s="253">
        <f ca="1">((PI()*CC31*CD31/4)*(CA31^2-CB31^2))*CE31</f>
        <v>5.0791637867681469</v>
      </c>
      <c r="CG31" s="254">
        <f ca="1">(((CF31/386.4)*(CA31^2+CB31^2))/8)</f>
        <v>1.2015199660566148E-2</v>
      </c>
      <c r="CH31" s="251" t="e">
        <f ca="1">(CA31/CA7)*Ratio</f>
        <v>#N/A</v>
      </c>
      <c r="CI31" s="256" t="e">
        <f ca="1">(CG31/(CH31^2))</f>
        <v>#N/A</v>
      </c>
      <c r="CK31" s="250" t="s">
        <v>665</v>
      </c>
      <c r="CL31" s="339">
        <v>3</v>
      </c>
      <c r="CM31" s="257">
        <v>2</v>
      </c>
      <c r="CN31" s="257">
        <f ca="1">VALUE(Width)+1.625</f>
        <v>1.625</v>
      </c>
      <c r="CO31" s="257">
        <v>0.28299999999999997</v>
      </c>
      <c r="CP31" s="381">
        <f ca="1">S_Roll</f>
        <v>5</v>
      </c>
      <c r="CQ31" s="253">
        <f ca="1">((PI()*CN31*CO31/4)*(CL31^2-CM31^2))*CP31</f>
        <v>9.0296245098100396</v>
      </c>
      <c r="CR31" s="254">
        <f ca="1">(((CQ31/386.4)*(CL31^2+CM31^2))/8)</f>
        <v>3.7973964359320177E-2</v>
      </c>
      <c r="CS31" s="251" t="e">
        <f ca="1">(CL31/CL7)*Ratio</f>
        <v>#N/A</v>
      </c>
      <c r="CT31" s="256" t="e">
        <f ca="1">(CR31/(CS31^2))</f>
        <v>#N/A</v>
      </c>
      <c r="CV31" s="248"/>
      <c r="CW31" s="258"/>
      <c r="CX31" s="258"/>
      <c r="CY31" s="258"/>
      <c r="CZ31" s="258"/>
      <c r="DA31" s="258"/>
      <c r="DB31" s="253"/>
      <c r="DC31" s="254"/>
      <c r="DD31" s="255"/>
      <c r="DE31" s="256"/>
      <c r="DG31" s="250"/>
      <c r="DH31" s="339"/>
      <c r="DI31" s="339"/>
      <c r="DJ31" s="339"/>
      <c r="DK31" s="254"/>
      <c r="DL31" s="257"/>
      <c r="DM31" s="340"/>
      <c r="DN31" s="254"/>
      <c r="DO31" s="255"/>
      <c r="DP31" s="256"/>
      <c r="DR31" s="250"/>
      <c r="DS31" s="341"/>
      <c r="DT31" s="341"/>
      <c r="DU31" s="258"/>
      <c r="DV31" s="251"/>
      <c r="DW31" s="245"/>
      <c r="DX31" s="347"/>
      <c r="DY31" s="348"/>
      <c r="DZ31" s="341"/>
      <c r="EA31" s="349"/>
      <c r="EC31" s="345"/>
      <c r="ED31" s="251"/>
      <c r="EE31" s="251"/>
      <c r="EF31" s="251"/>
      <c r="EG31" s="251"/>
      <c r="EH31" s="252"/>
      <c r="EI31" s="340"/>
      <c r="EJ31" s="254"/>
      <c r="EK31" s="341"/>
      <c r="EL31" s="256"/>
      <c r="EN31" s="345"/>
      <c r="EO31" s="251"/>
      <c r="EP31" s="251"/>
      <c r="EQ31" s="251"/>
      <c r="ER31" s="251"/>
      <c r="ES31" s="252"/>
      <c r="ET31" s="340"/>
      <c r="EU31" s="254"/>
      <c r="EV31" s="341"/>
      <c r="EW31" s="256"/>
      <c r="EY31" s="345"/>
      <c r="EZ31" s="251"/>
      <c r="FA31" s="251"/>
      <c r="FB31" s="251"/>
      <c r="FC31" s="251"/>
      <c r="FD31" s="252"/>
      <c r="FE31" s="340"/>
      <c r="FF31" s="254"/>
      <c r="FG31" s="341"/>
      <c r="FH31" s="256"/>
      <c r="FJ31" s="345"/>
      <c r="FK31" s="251"/>
      <c r="FL31" s="251"/>
      <c r="FM31" s="251"/>
      <c r="FN31" s="251"/>
      <c r="FO31" s="252"/>
      <c r="FP31" s="340"/>
      <c r="FQ31" s="254"/>
      <c r="FR31" s="341"/>
      <c r="FS31" s="256"/>
      <c r="FU31" s="250" t="s">
        <v>804</v>
      </c>
      <c r="FV31" s="339"/>
      <c r="FW31" s="339"/>
      <c r="FX31" s="339"/>
      <c r="FY31" s="251"/>
      <c r="FZ31" s="252"/>
      <c r="GA31" s="340"/>
      <c r="GB31" s="254"/>
      <c r="GC31" s="341"/>
      <c r="GD31" s="256"/>
    </row>
    <row r="32" spans="1:186" ht="15.75" x14ac:dyDescent="0.25">
      <c r="A32" s="250" t="s">
        <v>622</v>
      </c>
      <c r="B32" s="245"/>
      <c r="C32" s="245"/>
      <c r="D32" s="245"/>
      <c r="E32" s="257">
        <v>1</v>
      </c>
      <c r="F32" s="257">
        <v>0</v>
      </c>
      <c r="G32" s="245"/>
      <c r="H32" s="257">
        <v>0</v>
      </c>
      <c r="I32" s="257">
        <v>0</v>
      </c>
      <c r="J32" s="257">
        <f>H32*F32</f>
        <v>0</v>
      </c>
      <c r="L32" s="250" t="s">
        <v>622</v>
      </c>
      <c r="M32" s="245"/>
      <c r="N32" s="245"/>
      <c r="O32" s="245"/>
      <c r="P32" s="257">
        <v>1</v>
      </c>
      <c r="Q32" s="257">
        <v>0</v>
      </c>
      <c r="R32" s="245"/>
      <c r="S32" s="257">
        <v>0</v>
      </c>
      <c r="T32" s="257">
        <v>0</v>
      </c>
      <c r="U32" s="257">
        <f>S32*T32</f>
        <v>0</v>
      </c>
      <c r="W32" s="250" t="s">
        <v>622</v>
      </c>
      <c r="X32" s="245"/>
      <c r="Y32" s="245"/>
      <c r="Z32" s="245"/>
      <c r="AA32" s="257">
        <v>1</v>
      </c>
      <c r="AB32" s="257">
        <v>0</v>
      </c>
      <c r="AC32" s="245"/>
      <c r="AD32" s="257">
        <v>0</v>
      </c>
      <c r="AE32" s="257">
        <v>0</v>
      </c>
      <c r="AF32" s="257">
        <f>AD32*AE32</f>
        <v>0</v>
      </c>
      <c r="AH32" s="250" t="s">
        <v>622</v>
      </c>
      <c r="AI32" s="245"/>
      <c r="AJ32" s="245"/>
      <c r="AK32" s="245"/>
      <c r="AL32" s="257">
        <v>1</v>
      </c>
      <c r="AM32" s="257">
        <v>0</v>
      </c>
      <c r="AN32" s="245"/>
      <c r="AO32" s="257">
        <v>0</v>
      </c>
      <c r="AP32" s="257">
        <v>0</v>
      </c>
      <c r="AQ32" s="257">
        <f>AO32*AP32</f>
        <v>0</v>
      </c>
      <c r="AS32" s="250"/>
      <c r="AT32" s="255"/>
      <c r="AU32" s="255"/>
      <c r="AV32" s="245"/>
      <c r="AW32" s="251"/>
      <c r="AX32" s="245"/>
      <c r="AY32" s="253"/>
      <c r="AZ32" s="254"/>
      <c r="BA32" s="251"/>
      <c r="BB32" s="256"/>
      <c r="BD32" s="250"/>
      <c r="BE32" s="255"/>
      <c r="BF32" s="255"/>
      <c r="BG32" s="245"/>
      <c r="BH32" s="251"/>
      <c r="BI32" s="245"/>
      <c r="BJ32" s="253"/>
      <c r="BK32" s="254"/>
      <c r="BL32" s="251"/>
      <c r="BM32" s="256"/>
      <c r="BO32" s="250"/>
      <c r="BP32" s="255"/>
      <c r="BQ32" s="255"/>
      <c r="BR32" s="245"/>
      <c r="BS32" s="251"/>
      <c r="BT32" s="245"/>
      <c r="BU32" s="253"/>
      <c r="BV32" s="254"/>
      <c r="BW32" s="251"/>
      <c r="BX32" s="256"/>
      <c r="BZ32" s="250"/>
      <c r="CA32" s="255"/>
      <c r="CB32" s="255"/>
      <c r="CC32" s="245"/>
      <c r="CD32" s="251"/>
      <c r="CE32" s="245"/>
      <c r="CF32" s="253"/>
      <c r="CG32" s="254"/>
      <c r="CH32" s="251"/>
      <c r="CI32" s="256"/>
      <c r="CK32" s="250"/>
      <c r="CL32" s="255"/>
      <c r="CM32" s="255"/>
      <c r="CN32" s="245"/>
      <c r="CO32" s="251"/>
      <c r="CP32" s="245"/>
      <c r="CQ32" s="253"/>
      <c r="CR32" s="254"/>
      <c r="CS32" s="251"/>
      <c r="CT32" s="256"/>
      <c r="CV32" s="250" t="s">
        <v>666</v>
      </c>
      <c r="CW32" s="255">
        <v>2.25</v>
      </c>
      <c r="CX32" s="255">
        <v>2</v>
      </c>
      <c r="CY32" s="257">
        <f ca="1">VALUE(Width)+1.625</f>
        <v>1.625</v>
      </c>
      <c r="CZ32" s="251">
        <v>0.28299999999999997</v>
      </c>
      <c r="DA32" s="381">
        <v>0</v>
      </c>
      <c r="DB32" s="253">
        <f ca="1">((PI()*CY32*CZ32/4)*(CW32^2-CX32^2))*DA32</f>
        <v>0</v>
      </c>
      <c r="DC32" s="254">
        <f ca="1">(((DB32/386.4)*(CW32^2+CX32^2))/8)</f>
        <v>0</v>
      </c>
      <c r="DD32" s="255">
        <f>IF($DD$37=0,1,$DD$37)</f>
        <v>1</v>
      </c>
      <c r="DE32" s="256">
        <f ca="1">(DC32/(DD32^2))</f>
        <v>0</v>
      </c>
      <c r="DG32" s="248" t="s">
        <v>666</v>
      </c>
      <c r="DH32" s="339">
        <v>3</v>
      </c>
      <c r="DI32" s="339">
        <v>2</v>
      </c>
      <c r="DJ32" s="258">
        <f ca="1">VALUE(Width)+1.625</f>
        <v>1.625</v>
      </c>
      <c r="DK32" s="258">
        <v>0.28299999999999997</v>
      </c>
      <c r="DL32" s="258">
        <f ca="1">SP_Roll</f>
        <v>2</v>
      </c>
      <c r="DM32" s="346">
        <f ca="1">((PI()*DJ32*DK32/4)*(DH32^2-DI32^2))*DL32</f>
        <v>3.6118498039240157</v>
      </c>
      <c r="DN32" s="258">
        <f ca="1">(((DM32/386.4)*(DH32^2+DI32^2))/8)</f>
        <v>1.5189585743728069E-2</v>
      </c>
      <c r="DO32" s="255" t="e">
        <f ca="1">(DH32/DH6)*Ratio</f>
        <v>#N/A</v>
      </c>
      <c r="DP32" s="258" t="e">
        <f ca="1">(DN32/(DO32^2))</f>
        <v>#N/A</v>
      </c>
      <c r="DR32" s="250" t="s">
        <v>666</v>
      </c>
      <c r="DS32" s="341">
        <v>3.5</v>
      </c>
      <c r="DT32" s="341">
        <v>1</v>
      </c>
      <c r="DU32" s="258">
        <f ca="1">VALUE(Width)+1.625</f>
        <v>1.625</v>
      </c>
      <c r="DV32" s="343">
        <v>0.28299999999999997</v>
      </c>
      <c r="DW32" s="390">
        <v>1</v>
      </c>
      <c r="DX32" s="347">
        <f ca="1">((PI()*DU32*DV32/4)*(DS32^2-DT32^2))*DW32</f>
        <v>4.0633310294145177</v>
      </c>
      <c r="DY32" s="348">
        <f ca="1">(((DX32/386.4)*(DS32^2+DT32^2))/8)</f>
        <v>1.7416904807111274E-2</v>
      </c>
      <c r="DZ32" s="341" t="e">
        <f ca="1">(DS32/DS6)*Ratio</f>
        <v>#N/A</v>
      </c>
      <c r="EA32" s="349" t="e">
        <f ca="1">(DY32/(DZ32^2))</f>
        <v>#N/A</v>
      </c>
      <c r="EC32" s="250"/>
      <c r="ED32" s="258"/>
      <c r="EE32" s="258"/>
      <c r="EF32" s="258"/>
      <c r="EG32" s="245"/>
      <c r="EH32" s="245"/>
      <c r="EI32" s="340"/>
      <c r="EJ32" s="254"/>
      <c r="EK32" s="341"/>
      <c r="EL32" s="256"/>
      <c r="EN32" s="250"/>
      <c r="EO32" s="258"/>
      <c r="EP32" s="258"/>
      <c r="EQ32" s="258"/>
      <c r="ER32" s="245"/>
      <c r="ES32" s="245"/>
      <c r="ET32" s="340"/>
      <c r="EU32" s="254"/>
      <c r="EV32" s="341"/>
      <c r="EW32" s="256"/>
      <c r="EY32" s="250"/>
      <c r="EZ32" s="258"/>
      <c r="FA32" s="258"/>
      <c r="FB32" s="258"/>
      <c r="FC32" s="245"/>
      <c r="FD32" s="245"/>
      <c r="FE32" s="340"/>
      <c r="FF32" s="254"/>
      <c r="FG32" s="341"/>
      <c r="FH32" s="256"/>
      <c r="FJ32" s="250"/>
      <c r="FK32" s="258"/>
      <c r="FL32" s="258"/>
      <c r="FM32" s="258"/>
      <c r="FN32" s="245"/>
      <c r="FO32" s="245"/>
      <c r="FP32" s="340"/>
      <c r="FQ32" s="254"/>
      <c r="FR32" s="341"/>
      <c r="FS32" s="256"/>
      <c r="FU32" s="250"/>
      <c r="FV32" s="339"/>
      <c r="FW32" s="339"/>
      <c r="FX32" s="339"/>
      <c r="FY32" s="251"/>
      <c r="FZ32" s="252"/>
      <c r="GA32" s="340"/>
      <c r="GB32" s="254"/>
      <c r="GC32" s="341"/>
      <c r="GD32" s="256"/>
    </row>
    <row r="33" spans="1:186" ht="15.75" x14ac:dyDescent="0.25">
      <c r="A33" s="250"/>
      <c r="B33" s="245"/>
      <c r="C33" s="245"/>
      <c r="D33" s="245"/>
      <c r="E33" s="245"/>
      <c r="F33" s="245"/>
      <c r="G33" s="245"/>
      <c r="H33" s="245"/>
      <c r="I33" s="245"/>
      <c r="J33" s="245"/>
      <c r="L33" s="250"/>
      <c r="M33" s="245"/>
      <c r="N33" s="245"/>
      <c r="O33" s="245"/>
      <c r="P33" s="245"/>
      <c r="Q33" s="245"/>
      <c r="R33" s="245"/>
      <c r="S33" s="245"/>
      <c r="T33" s="245"/>
      <c r="U33" s="245"/>
      <c r="W33" s="250"/>
      <c r="X33" s="245"/>
      <c r="Y33" s="245"/>
      <c r="Z33" s="245"/>
      <c r="AA33" s="245"/>
      <c r="AB33" s="245"/>
      <c r="AC33" s="245"/>
      <c r="AD33" s="245"/>
      <c r="AE33" s="245"/>
      <c r="AF33" s="245"/>
      <c r="AH33" s="250"/>
      <c r="AI33" s="245"/>
      <c r="AJ33" s="245"/>
      <c r="AK33" s="245"/>
      <c r="AL33" s="245"/>
      <c r="AM33" s="245"/>
      <c r="AN33" s="245"/>
      <c r="AO33" s="245"/>
      <c r="AP33" s="245"/>
      <c r="AQ33" s="245"/>
      <c r="AS33" s="250" t="s">
        <v>666</v>
      </c>
      <c r="AT33" s="257">
        <v>2.25</v>
      </c>
      <c r="AU33" s="257">
        <v>1.605</v>
      </c>
      <c r="AV33" s="257">
        <f ca="1">VALUE(Width)+1.75</f>
        <v>1.75</v>
      </c>
      <c r="AW33" s="257">
        <v>0.28299999999999997</v>
      </c>
      <c r="AX33" s="381">
        <f ca="1">SP_Roll</f>
        <v>2</v>
      </c>
      <c r="AY33" s="253">
        <f ca="1">((PI()*AV33*AW33/4)*(AT33^2-AU33^2))*AX33</f>
        <v>1.9343206057995002</v>
      </c>
      <c r="AZ33" s="254">
        <f ca="1">(((AY33/386.4)*(AT33^2+AU33^2))/8)</f>
        <v>4.7798124694017298E-3</v>
      </c>
      <c r="BA33" s="251" t="e">
        <f ca="1">(AT31/AT7)*Ratio</f>
        <v>#N/A</v>
      </c>
      <c r="BB33" s="256" t="e">
        <f ca="1">(AZ33/(BA33^2))</f>
        <v>#N/A</v>
      </c>
      <c r="BD33" s="250" t="s">
        <v>666</v>
      </c>
      <c r="BE33" s="257">
        <v>2.25</v>
      </c>
      <c r="BF33" s="257">
        <v>1.605</v>
      </c>
      <c r="BG33" s="257">
        <f ca="1">VALUE(Width)+1.75</f>
        <v>1.75</v>
      </c>
      <c r="BH33" s="257">
        <v>0.28299999999999997</v>
      </c>
      <c r="BI33" s="381">
        <f ca="1">SP_Roll</f>
        <v>2</v>
      </c>
      <c r="BJ33" s="253">
        <f ca="1">((PI()*BG33*BH33/4)*(BE33^2-BF33^2))*BI33</f>
        <v>1.9343206057995002</v>
      </c>
      <c r="BK33" s="254">
        <f ca="1">(((BJ33/386.4)*(BE33^2+BF33^2))/8)</f>
        <v>4.7798124694017298E-3</v>
      </c>
      <c r="BL33" s="251" t="e">
        <f ca="1">(BE31/BE7)*Ratio</f>
        <v>#N/A</v>
      </c>
      <c r="BM33" s="256" t="e">
        <f ca="1">(BK33/(BL33^2))</f>
        <v>#N/A</v>
      </c>
      <c r="BO33" s="250" t="s">
        <v>666</v>
      </c>
      <c r="BP33" s="339">
        <v>3</v>
      </c>
      <c r="BQ33" s="257">
        <v>1.605</v>
      </c>
      <c r="BR33" s="257">
        <f ca="1">VALUE(Width)+1.75</f>
        <v>1.75</v>
      </c>
      <c r="BS33" s="257">
        <v>0.28299999999999997</v>
      </c>
      <c r="BT33" s="381">
        <f ca="1">SP_Roll</f>
        <v>2</v>
      </c>
      <c r="BU33" s="253">
        <f ca="1">((PI()*BR33*BS33/4)*(BP33^2-BQ33^2))*BT33</f>
        <v>4.9974470741273667</v>
      </c>
      <c r="BV33" s="254">
        <f ca="1">(((BU33/386.4)*(BP33^2+BQ33^2))/8)</f>
        <v>1.8714600241419271E-2</v>
      </c>
      <c r="BW33" s="251" t="e">
        <f ca="1">(BP33/BP7)*Ratio</f>
        <v>#N/A</v>
      </c>
      <c r="BX33" s="256" t="e">
        <f ca="1">(BV33/(BW33^2))</f>
        <v>#N/A</v>
      </c>
      <c r="BZ33" s="250" t="s">
        <v>666</v>
      </c>
      <c r="CA33" s="339">
        <v>3</v>
      </c>
      <c r="CB33" s="257">
        <v>2</v>
      </c>
      <c r="CC33" s="257">
        <f ca="1">VALUE(Width)+1.625</f>
        <v>1.625</v>
      </c>
      <c r="CD33" s="257">
        <v>0.28299999999999997</v>
      </c>
      <c r="CE33" s="381">
        <f ca="1">SP_Roll</f>
        <v>2</v>
      </c>
      <c r="CF33" s="253">
        <f ca="1">((PI()*CC33*CD33/4)*(CA33^2-CB33^2))*CE33</f>
        <v>3.6118498039240157</v>
      </c>
      <c r="CG33" s="254">
        <f ca="1">(((CF33/386.4)*(CA33^2+CB33^2))/8)</f>
        <v>1.5189585743728069E-2</v>
      </c>
      <c r="CH33" s="251" t="e">
        <f ca="1">(CA33/CA7)*Ratio</f>
        <v>#N/A</v>
      </c>
      <c r="CI33" s="256" t="e">
        <f ca="1">(CG33/(CH33^2))</f>
        <v>#N/A</v>
      </c>
      <c r="CK33" s="250" t="s">
        <v>666</v>
      </c>
      <c r="CL33" s="339">
        <v>3</v>
      </c>
      <c r="CM33" s="257">
        <v>2</v>
      </c>
      <c r="CN33" s="257">
        <f ca="1">VALUE(Width)+1.625</f>
        <v>1.625</v>
      </c>
      <c r="CO33" s="257">
        <v>0.28299999999999997</v>
      </c>
      <c r="CP33" s="381">
        <f ca="1">SP_Roll</f>
        <v>2</v>
      </c>
      <c r="CQ33" s="253">
        <f ca="1">((PI()*CN33*CO33/4)*(CL33^2-CM33^2))*CP33</f>
        <v>3.6118498039240157</v>
      </c>
      <c r="CR33" s="254">
        <f ca="1">(((CQ33/386.4)*(CL33^2+CM33^2))/8)</f>
        <v>1.5189585743728069E-2</v>
      </c>
      <c r="CS33" s="251" t="e">
        <f ca="1">(CL33/CL7)*Ratio</f>
        <v>#N/A</v>
      </c>
      <c r="CT33" s="256" t="e">
        <f ca="1">(CR33/(CS33^2))</f>
        <v>#N/A</v>
      </c>
      <c r="CV33" s="248"/>
      <c r="CW33" s="245"/>
      <c r="CX33" s="245"/>
      <c r="CY33" s="245"/>
      <c r="CZ33" s="245"/>
      <c r="DA33" s="245"/>
      <c r="DB33" s="245"/>
      <c r="DC33" s="245"/>
      <c r="DD33" s="245"/>
      <c r="DE33" s="245"/>
      <c r="DG33" s="248"/>
      <c r="DH33" s="258"/>
      <c r="DI33" s="258"/>
      <c r="DJ33" s="258"/>
      <c r="DK33" s="258"/>
      <c r="DL33" s="258"/>
      <c r="DM33" s="346"/>
      <c r="DN33" s="258"/>
      <c r="DO33" s="258"/>
      <c r="DP33" s="258"/>
      <c r="DR33" s="248"/>
      <c r="DS33" s="245"/>
      <c r="DT33" s="245"/>
      <c r="DU33" s="245"/>
      <c r="DV33" s="245"/>
      <c r="DW33" s="245"/>
      <c r="DX33" s="245"/>
      <c r="DY33" s="245"/>
      <c r="DZ33" s="245"/>
      <c r="EA33" s="245"/>
      <c r="EC33" s="248"/>
      <c r="ED33" s="245"/>
      <c r="EE33" s="245"/>
      <c r="EF33" s="245"/>
      <c r="EG33" s="245"/>
      <c r="EH33" s="245"/>
      <c r="EI33" s="245"/>
      <c r="EJ33" s="245"/>
      <c r="EK33" s="245"/>
      <c r="EL33" s="245"/>
      <c r="EN33" s="248"/>
      <c r="EO33" s="245"/>
      <c r="EP33" s="245"/>
      <c r="EQ33" s="245"/>
      <c r="ER33" s="245"/>
      <c r="ES33" s="245"/>
      <c r="ET33" s="245"/>
      <c r="EU33" s="245"/>
      <c r="EV33" s="245"/>
      <c r="EW33" s="245"/>
      <c r="EY33" s="248"/>
      <c r="EZ33" s="245"/>
      <c r="FA33" s="245"/>
      <c r="FB33" s="245"/>
      <c r="FC33" s="245"/>
      <c r="FD33" s="245"/>
      <c r="FE33" s="245"/>
      <c r="FF33" s="245"/>
      <c r="FG33" s="245"/>
      <c r="FH33" s="245"/>
      <c r="FJ33" s="248"/>
      <c r="FK33" s="245"/>
      <c r="FL33" s="245"/>
      <c r="FM33" s="245"/>
      <c r="FN33" s="245"/>
      <c r="FO33" s="245"/>
      <c r="FP33" s="245"/>
      <c r="FQ33" s="245"/>
      <c r="FR33" s="245"/>
      <c r="FS33" s="245"/>
      <c r="FU33" s="248"/>
      <c r="FV33" s="245"/>
      <c r="FW33" s="245"/>
      <c r="FX33" s="245"/>
      <c r="FY33" s="245"/>
      <c r="FZ33" s="245"/>
      <c r="GA33" s="245"/>
      <c r="GB33" s="245"/>
      <c r="GC33" s="245"/>
      <c r="GD33" s="245"/>
    </row>
    <row r="34" spans="1:186" ht="15.75" x14ac:dyDescent="0.25">
      <c r="A34" s="250"/>
      <c r="B34" s="245"/>
      <c r="C34" s="245"/>
      <c r="D34" s="245"/>
      <c r="E34" s="245"/>
      <c r="F34" s="245"/>
      <c r="G34" s="245"/>
      <c r="H34" s="245"/>
      <c r="I34" s="245"/>
      <c r="J34" s="245"/>
      <c r="L34" s="250"/>
      <c r="M34" s="245"/>
      <c r="N34" s="245"/>
      <c r="O34" s="245"/>
      <c r="P34" s="245"/>
      <c r="Q34" s="245"/>
      <c r="R34" s="245"/>
      <c r="S34" s="245"/>
      <c r="T34" s="245"/>
      <c r="U34" s="245"/>
      <c r="W34" s="250"/>
      <c r="X34" s="245"/>
      <c r="Y34" s="245"/>
      <c r="Z34" s="245"/>
      <c r="AA34" s="245"/>
      <c r="AB34" s="245"/>
      <c r="AC34" s="245"/>
      <c r="AD34" s="245"/>
      <c r="AE34" s="245"/>
      <c r="AF34" s="245"/>
      <c r="AH34" s="250"/>
      <c r="AI34" s="245"/>
      <c r="AJ34" s="245"/>
      <c r="AK34" s="245"/>
      <c r="AL34" s="245"/>
      <c r="AM34" s="245"/>
      <c r="AN34" s="245"/>
      <c r="AO34" s="245"/>
      <c r="AP34" s="245"/>
      <c r="AQ34" s="245"/>
      <c r="AS34" s="248"/>
      <c r="AT34" s="338"/>
      <c r="AU34" s="338"/>
      <c r="AV34" s="338"/>
      <c r="AW34" s="338"/>
      <c r="AX34" s="338"/>
      <c r="AY34" s="245"/>
      <c r="AZ34" s="338"/>
      <c r="BA34" s="338"/>
      <c r="BB34" s="338"/>
      <c r="CV34" s="248"/>
      <c r="CW34" s="338" t="s">
        <v>619</v>
      </c>
      <c r="CX34" s="338" t="s">
        <v>620</v>
      </c>
      <c r="CY34" s="338"/>
      <c r="CZ34" s="338" t="s">
        <v>621</v>
      </c>
      <c r="DA34" s="338" t="s">
        <v>574</v>
      </c>
      <c r="DB34" s="245"/>
      <c r="DC34" s="338" t="s">
        <v>576</v>
      </c>
      <c r="DD34" s="338" t="s">
        <v>103</v>
      </c>
      <c r="DE34" s="338" t="s">
        <v>577</v>
      </c>
      <c r="DG34" s="248"/>
      <c r="DH34" s="338" t="s">
        <v>619</v>
      </c>
      <c r="DI34" s="338" t="s">
        <v>620</v>
      </c>
      <c r="DJ34" s="338"/>
      <c r="DK34" s="338" t="s">
        <v>621</v>
      </c>
      <c r="DL34" s="338" t="s">
        <v>574</v>
      </c>
      <c r="DM34" s="245"/>
      <c r="DN34" s="338" t="s">
        <v>576</v>
      </c>
      <c r="DO34" s="338" t="s">
        <v>103</v>
      </c>
      <c r="DP34" s="338" t="s">
        <v>577</v>
      </c>
      <c r="DR34" s="248"/>
      <c r="DS34" s="338" t="s">
        <v>619</v>
      </c>
      <c r="DT34" s="338" t="s">
        <v>620</v>
      </c>
      <c r="DU34" s="338"/>
      <c r="DV34" s="338" t="s">
        <v>621</v>
      </c>
      <c r="DW34" s="338" t="s">
        <v>574</v>
      </c>
      <c r="DX34" s="245"/>
      <c r="DY34" s="338" t="s">
        <v>576</v>
      </c>
      <c r="DZ34" s="338" t="s">
        <v>103</v>
      </c>
      <c r="EA34" s="338" t="s">
        <v>577</v>
      </c>
      <c r="EC34" s="345" t="s">
        <v>665</v>
      </c>
      <c r="ED34" s="255">
        <v>3.5</v>
      </c>
      <c r="EE34" s="255">
        <v>2.25</v>
      </c>
      <c r="EF34" s="258">
        <f ca="1">VALUE(Width)+1.625</f>
        <v>1.625</v>
      </c>
      <c r="EG34" s="251">
        <v>0.28299999999999997</v>
      </c>
      <c r="EH34" s="257">
        <v>6</v>
      </c>
      <c r="EI34" s="340">
        <f ca="1">((PI()*EF34*EG34/4)*(ED34^2-EE34^2))*EH34</f>
        <v>15.576102279422315</v>
      </c>
      <c r="EJ34" s="254">
        <f ca="1">(((EI34/386.4)*(ED34^2+EE34^2))/8)</f>
        <v>8.7235141923039217E-2</v>
      </c>
      <c r="EK34" s="341" t="e">
        <f ca="1">(ED34/ED6)*Ratio</f>
        <v>#N/A</v>
      </c>
      <c r="EL34" s="256" t="e">
        <f ca="1">(EJ34/(EK34^2))</f>
        <v>#N/A</v>
      </c>
      <c r="EN34" s="345" t="s">
        <v>665</v>
      </c>
      <c r="EO34" s="255">
        <v>5</v>
      </c>
      <c r="EP34" s="255">
        <v>4</v>
      </c>
      <c r="EQ34" s="258">
        <f ca="1">VALUE(Width)+1.625</f>
        <v>1.625</v>
      </c>
      <c r="ER34" s="251">
        <v>0.28299999999999997</v>
      </c>
      <c r="ES34" s="257">
        <v>6</v>
      </c>
      <c r="ET34" s="340">
        <f ca="1">((PI()*EQ34*ER34/4)*(EO34^2-EP34^2))*ES34</f>
        <v>19.503988941189682</v>
      </c>
      <c r="EU34" s="254">
        <f ca="1">(((ET34/386.4)*(EO34^2+EP34^2))/8)</f>
        <v>0.25869032951241494</v>
      </c>
      <c r="EV34" s="341" t="e">
        <f ca="1">(EO34/EO6)*Ratio</f>
        <v>#N/A</v>
      </c>
      <c r="EW34" s="256" t="e">
        <f ca="1">(EU34/(EV34^2))</f>
        <v>#N/A</v>
      </c>
      <c r="EY34" s="345" t="s">
        <v>665</v>
      </c>
      <c r="EZ34" s="255">
        <v>3.5</v>
      </c>
      <c r="FA34" s="255">
        <v>2.25</v>
      </c>
      <c r="FB34" s="258">
        <f ca="1">VALUE(Width)+1.625</f>
        <v>1.625</v>
      </c>
      <c r="FC34" s="251">
        <v>0.28299999999999997</v>
      </c>
      <c r="FD34" s="257">
        <v>6</v>
      </c>
      <c r="FE34" s="340">
        <f ca="1">((PI()*FB34*FC34/4)*(EZ34^2-FA34^2))*FD34</f>
        <v>15.576102279422315</v>
      </c>
      <c r="FF34" s="254">
        <f ca="1">(((FE34/386.4)*(EZ34^2+FA34^2))/8)</f>
        <v>8.7235141923039217E-2</v>
      </c>
      <c r="FG34" s="341" t="e">
        <f ca="1">(EZ34/EZ6)*Ratio</f>
        <v>#N/A</v>
      </c>
      <c r="FH34" s="256" t="e">
        <f ca="1">(FF34/(FG34^2))</f>
        <v>#N/A</v>
      </c>
      <c r="FJ34" s="345" t="s">
        <v>665</v>
      </c>
      <c r="FK34" s="255">
        <v>5</v>
      </c>
      <c r="FL34" s="255">
        <v>4</v>
      </c>
      <c r="FM34" s="258">
        <f ca="1">VALUE(Width)+1.625</f>
        <v>1.625</v>
      </c>
      <c r="FN34" s="251">
        <v>0.28299999999999997</v>
      </c>
      <c r="FO34" s="257">
        <v>6</v>
      </c>
      <c r="FP34" s="340">
        <f ca="1">((PI()*FM34*FN34/4)*(FK34^2-FL34^2))*FO34</f>
        <v>19.503988941189682</v>
      </c>
      <c r="FQ34" s="254">
        <f ca="1">(((FP34/386.4)*(FK34^2+FL34^2))/8)</f>
        <v>0.25869032951241494</v>
      </c>
      <c r="FR34" s="341" t="e">
        <f ca="1">(FK34/FK6)*Ratio</f>
        <v>#N/A</v>
      </c>
      <c r="FS34" s="256" t="e">
        <f ca="1">(FQ34/(FR34^2))</f>
        <v>#N/A</v>
      </c>
      <c r="FU34" s="345" t="s">
        <v>665</v>
      </c>
      <c r="FV34" s="255">
        <v>5</v>
      </c>
      <c r="FW34" s="255">
        <v>4</v>
      </c>
      <c r="FX34" s="258">
        <f ca="1">VALUE(Width)+1.625</f>
        <v>1.625</v>
      </c>
      <c r="FY34" s="251">
        <v>0.28299999999999997</v>
      </c>
      <c r="FZ34" s="257">
        <v>6</v>
      </c>
      <c r="GA34" s="340">
        <f ca="1">((PI()*FX34*FY34/4)*(FV34^2-FW34^2))*FZ34</f>
        <v>19.503988941189682</v>
      </c>
      <c r="GB34" s="254">
        <f ca="1">(((GA34/386.4)*(FV34^2+FW34^2))/8)</f>
        <v>0.25869032951241494</v>
      </c>
      <c r="GC34" s="341" t="e">
        <f ca="1">(FV34/FV6)*Ratio</f>
        <v>#N/A</v>
      </c>
      <c r="GD34" s="256" t="e">
        <f ca="1">(GB34/(GC34^2))</f>
        <v>#N/A</v>
      </c>
    </row>
    <row r="35" spans="1:186" ht="15.75" x14ac:dyDescent="0.25">
      <c r="A35" s="250"/>
      <c r="B35" s="338" t="s">
        <v>114</v>
      </c>
      <c r="C35" s="338" t="s">
        <v>623</v>
      </c>
      <c r="D35" s="338" t="s">
        <v>624</v>
      </c>
      <c r="E35" s="338" t="s">
        <v>625</v>
      </c>
      <c r="F35" s="338" t="s">
        <v>626</v>
      </c>
      <c r="G35" s="338" t="s">
        <v>575</v>
      </c>
      <c r="H35" s="338" t="s">
        <v>576</v>
      </c>
      <c r="I35" s="338" t="s">
        <v>103</v>
      </c>
      <c r="J35" s="338" t="s">
        <v>577</v>
      </c>
      <c r="L35" s="250"/>
      <c r="M35" s="338" t="s">
        <v>114</v>
      </c>
      <c r="N35" s="338" t="s">
        <v>623</v>
      </c>
      <c r="O35" s="338" t="s">
        <v>624</v>
      </c>
      <c r="P35" s="338" t="s">
        <v>625</v>
      </c>
      <c r="Q35" s="338" t="s">
        <v>626</v>
      </c>
      <c r="R35" s="338" t="s">
        <v>575</v>
      </c>
      <c r="S35" s="338" t="s">
        <v>576</v>
      </c>
      <c r="T35" s="338" t="s">
        <v>103</v>
      </c>
      <c r="U35" s="338" t="s">
        <v>577</v>
      </c>
      <c r="W35" s="250"/>
      <c r="X35" s="338" t="s">
        <v>114</v>
      </c>
      <c r="Y35" s="338" t="s">
        <v>623</v>
      </c>
      <c r="Z35" s="338" t="s">
        <v>624</v>
      </c>
      <c r="AA35" s="338" t="s">
        <v>625</v>
      </c>
      <c r="AB35" s="338" t="s">
        <v>627</v>
      </c>
      <c r="AC35" s="338" t="s">
        <v>575</v>
      </c>
      <c r="AD35" s="338" t="s">
        <v>576</v>
      </c>
      <c r="AE35" s="338" t="s">
        <v>103</v>
      </c>
      <c r="AF35" s="338" t="s">
        <v>577</v>
      </c>
      <c r="AH35" s="250"/>
      <c r="AI35" s="338" t="s">
        <v>114</v>
      </c>
      <c r="AJ35" s="338" t="s">
        <v>623</v>
      </c>
      <c r="AK35" s="338" t="s">
        <v>624</v>
      </c>
      <c r="AL35" s="338" t="s">
        <v>625</v>
      </c>
      <c r="AM35" s="338" t="s">
        <v>627</v>
      </c>
      <c r="AN35" s="338" t="s">
        <v>575</v>
      </c>
      <c r="AO35" s="338" t="s">
        <v>576</v>
      </c>
      <c r="AP35" s="338" t="s">
        <v>103</v>
      </c>
      <c r="AQ35" s="338" t="s">
        <v>577</v>
      </c>
      <c r="AS35" s="248"/>
      <c r="AT35" s="338" t="s">
        <v>619</v>
      </c>
      <c r="AU35" s="338" t="s">
        <v>620</v>
      </c>
      <c r="AV35" s="338"/>
      <c r="AW35" s="338" t="s">
        <v>621</v>
      </c>
      <c r="AX35" s="338"/>
      <c r="AY35" s="245"/>
      <c r="AZ35" s="338" t="s">
        <v>576</v>
      </c>
      <c r="BA35" s="338" t="s">
        <v>103</v>
      </c>
      <c r="BB35" s="338" t="s">
        <v>577</v>
      </c>
      <c r="BD35" s="248"/>
      <c r="BE35" s="338" t="s">
        <v>619</v>
      </c>
      <c r="BF35" s="338" t="s">
        <v>620</v>
      </c>
      <c r="BG35" s="338"/>
      <c r="BH35" s="338" t="s">
        <v>621</v>
      </c>
      <c r="BI35" s="338"/>
      <c r="BJ35" s="245"/>
      <c r="BK35" s="338" t="s">
        <v>576</v>
      </c>
      <c r="BL35" s="338" t="s">
        <v>103</v>
      </c>
      <c r="BM35" s="338" t="s">
        <v>577</v>
      </c>
      <c r="BO35" s="250"/>
      <c r="BP35" s="245"/>
      <c r="BQ35" s="245"/>
      <c r="BR35" s="245"/>
      <c r="BS35" s="245"/>
      <c r="BT35" s="245"/>
      <c r="BU35" s="245"/>
      <c r="BV35" s="245"/>
      <c r="BW35" s="245"/>
      <c r="BX35" s="245"/>
      <c r="BZ35" s="248"/>
      <c r="CA35" s="338" t="s">
        <v>619</v>
      </c>
      <c r="CB35" s="338" t="s">
        <v>620</v>
      </c>
      <c r="CC35" s="338"/>
      <c r="CD35" s="338" t="s">
        <v>621</v>
      </c>
      <c r="CE35" s="338"/>
      <c r="CF35" s="245"/>
      <c r="CG35" s="338" t="s">
        <v>576</v>
      </c>
      <c r="CH35" s="338" t="s">
        <v>103</v>
      </c>
      <c r="CI35" s="338" t="s">
        <v>577</v>
      </c>
      <c r="CK35" s="248"/>
      <c r="CL35" s="338" t="s">
        <v>619</v>
      </c>
      <c r="CM35" s="338" t="s">
        <v>620</v>
      </c>
      <c r="CN35" s="338"/>
      <c r="CO35" s="338" t="s">
        <v>621</v>
      </c>
      <c r="CP35" s="338"/>
      <c r="CQ35" s="245"/>
      <c r="CR35" s="338" t="s">
        <v>576</v>
      </c>
      <c r="CS35" s="338" t="s">
        <v>103</v>
      </c>
      <c r="CT35" s="338" t="s">
        <v>577</v>
      </c>
      <c r="CV35" s="248"/>
      <c r="CW35" s="338"/>
      <c r="CX35" s="338"/>
      <c r="CY35" s="338"/>
      <c r="CZ35" s="338"/>
      <c r="DA35" s="338"/>
      <c r="DB35" s="245"/>
      <c r="DC35" s="338"/>
      <c r="DD35" s="338"/>
      <c r="DE35" s="338"/>
      <c r="DG35" s="248"/>
      <c r="DH35" s="338"/>
      <c r="DI35" s="338"/>
      <c r="DJ35" s="338"/>
      <c r="DK35" s="338"/>
      <c r="DL35" s="338"/>
      <c r="DM35" s="245"/>
      <c r="DN35" s="338"/>
      <c r="DO35" s="338"/>
      <c r="DP35" s="338"/>
      <c r="DR35" s="248"/>
      <c r="DS35" s="338"/>
      <c r="DT35" s="338"/>
      <c r="DU35" s="338"/>
      <c r="DV35" s="338"/>
      <c r="DW35" s="338"/>
      <c r="DX35" s="245"/>
      <c r="DY35" s="338"/>
      <c r="DZ35" s="338"/>
      <c r="EA35" s="338"/>
    </row>
    <row r="36" spans="1:186" ht="15.75" x14ac:dyDescent="0.25">
      <c r="A36" s="250" t="s">
        <v>628</v>
      </c>
      <c r="B36" s="338">
        <f ca="1">MatWidth</f>
        <v>16</v>
      </c>
      <c r="C36" s="338">
        <f ca="1">MatThickness</f>
        <v>0.3</v>
      </c>
      <c r="D36" s="338">
        <f ca="1">MatLnFLT</f>
        <v>24</v>
      </c>
      <c r="E36" s="338">
        <f ca="1">MatDensity</f>
        <v>0.28299999999999997</v>
      </c>
      <c r="F36" s="338">
        <f ca="1">MatLoop</f>
        <v>339.29200658769764</v>
      </c>
      <c r="G36" s="259">
        <f ca="1">B36*C36*E36*F36</f>
        <v>460.89426174872841</v>
      </c>
      <c r="H36" s="260">
        <f ca="1">((B36*C36*D36*E36)/32.3)*(((B7*0.5)^2)/144)*12</f>
        <v>0.106453560371517</v>
      </c>
      <c r="I36" s="257" t="e">
        <f ca="1">Ratio</f>
        <v>#N/A</v>
      </c>
      <c r="J36" s="260" t="e">
        <f ca="1">H36/(I36^2)</f>
        <v>#N/A</v>
      </c>
      <c r="L36" s="250" t="s">
        <v>628</v>
      </c>
      <c r="M36" s="338">
        <f ca="1">MatWidth</f>
        <v>16</v>
      </c>
      <c r="N36" s="338">
        <f ca="1">MatThickness</f>
        <v>0.3</v>
      </c>
      <c r="O36" s="338">
        <f ca="1">MatLnFLT</f>
        <v>24</v>
      </c>
      <c r="P36" s="338">
        <f ca="1">MatDensity</f>
        <v>0.28299999999999997</v>
      </c>
      <c r="Q36" s="338">
        <f ca="1">MatLoop</f>
        <v>339.29200658769764</v>
      </c>
      <c r="R36" s="259">
        <f ca="1">M36*N36*P36*Q36</f>
        <v>460.89426174872841</v>
      </c>
      <c r="S36" s="260">
        <f ca="1">((M36*N36*O36*P36)/32.3)*(((M7*0.5)^2)/144)*12</f>
        <v>0.106453560371517</v>
      </c>
      <c r="T36" s="257" t="e">
        <f ca="1">Ratio</f>
        <v>#N/A</v>
      </c>
      <c r="U36" s="260" t="e">
        <f ca="1">S36/(T36^2)</f>
        <v>#N/A</v>
      </c>
      <c r="W36" s="250" t="s">
        <v>628</v>
      </c>
      <c r="X36" s="338">
        <f ca="1">MatWidth</f>
        <v>16</v>
      </c>
      <c r="Y36" s="338">
        <f ca="1">MatThickness</f>
        <v>0.3</v>
      </c>
      <c r="Z36" s="338">
        <f ca="1">MatLnFLT</f>
        <v>24</v>
      </c>
      <c r="AA36" s="338">
        <f ca="1">MatDensity</f>
        <v>0.28299999999999997</v>
      </c>
      <c r="AB36" s="338">
        <f ca="1">MatLoop</f>
        <v>339.29200658769764</v>
      </c>
      <c r="AC36" s="259">
        <f ca="1">X36*Y36*AA36*AB36</f>
        <v>460.89426174872841</v>
      </c>
      <c r="AD36" s="260">
        <f ca="1">((X36*Y36*Z36*AA36)/32.3)*(((X7*0.5)^2)/144)*12</f>
        <v>0.14489512383900927</v>
      </c>
      <c r="AE36" s="257" t="e">
        <f ca="1">Ratio</f>
        <v>#N/A</v>
      </c>
      <c r="AF36" s="260" t="e">
        <f ca="1">AD36/(AE36^2)</f>
        <v>#N/A</v>
      </c>
      <c r="AH36" s="250" t="s">
        <v>628</v>
      </c>
      <c r="AI36" s="338">
        <f ca="1">MatWidth</f>
        <v>16</v>
      </c>
      <c r="AJ36" s="338">
        <f ca="1">MatThickness</f>
        <v>0.3</v>
      </c>
      <c r="AK36" s="338">
        <f ca="1">MatLnFLT</f>
        <v>24</v>
      </c>
      <c r="AL36" s="338">
        <f ca="1">MatDensity</f>
        <v>0.28299999999999997</v>
      </c>
      <c r="AM36" s="338">
        <f ca="1">MatLoop</f>
        <v>339.29200658769764</v>
      </c>
      <c r="AN36" s="259">
        <f ca="1">AI36*AJ36*AL36*AM36</f>
        <v>460.89426174872841</v>
      </c>
      <c r="AO36" s="260">
        <f ca="1">((AI36*AJ36*AK36*AL36)/32.3)*(((AI7*0.5)^2)/144)*12</f>
        <v>0.14489512383900927</v>
      </c>
      <c r="AP36" s="257" t="e">
        <f ca="1">Ratio</f>
        <v>#N/A</v>
      </c>
      <c r="AQ36" s="260" t="e">
        <f ca="1">AO36/(AP36^2)</f>
        <v>#N/A</v>
      </c>
      <c r="AS36" s="250" t="s">
        <v>622</v>
      </c>
      <c r="AT36" s="245"/>
      <c r="AU36" s="245"/>
      <c r="AV36" s="245"/>
      <c r="AW36" s="257">
        <v>1</v>
      </c>
      <c r="AX36" s="257">
        <v>0</v>
      </c>
      <c r="AY36" s="245"/>
      <c r="AZ36" s="257">
        <v>0</v>
      </c>
      <c r="BA36" s="257">
        <v>0</v>
      </c>
      <c r="BB36" s="257">
        <f>AZ36*BA36</f>
        <v>0</v>
      </c>
      <c r="BD36" s="250" t="s">
        <v>622</v>
      </c>
      <c r="BE36" s="245"/>
      <c r="BF36" s="245"/>
      <c r="BG36" s="245"/>
      <c r="BH36" s="257">
        <v>1</v>
      </c>
      <c r="BI36" s="257">
        <v>0</v>
      </c>
      <c r="BJ36" s="245"/>
      <c r="BK36" s="257">
        <v>0</v>
      </c>
      <c r="BL36" s="257">
        <v>0</v>
      </c>
      <c r="BM36" s="257">
        <f>BK36*BL36</f>
        <v>0</v>
      </c>
      <c r="BO36" s="248"/>
      <c r="BP36" s="338" t="s">
        <v>619</v>
      </c>
      <c r="BQ36" s="338" t="s">
        <v>620</v>
      </c>
      <c r="BR36" s="338"/>
      <c r="BS36" s="338" t="s">
        <v>621</v>
      </c>
      <c r="BT36" s="338"/>
      <c r="BU36" s="245"/>
      <c r="BV36" s="338" t="s">
        <v>576</v>
      </c>
      <c r="BW36" s="338" t="s">
        <v>103</v>
      </c>
      <c r="BX36" s="338" t="s">
        <v>577</v>
      </c>
      <c r="BZ36" s="250" t="s">
        <v>622</v>
      </c>
      <c r="CA36" s="245"/>
      <c r="CB36" s="245"/>
      <c r="CC36" s="245"/>
      <c r="CD36" s="257">
        <v>1</v>
      </c>
      <c r="CE36" s="257">
        <v>0</v>
      </c>
      <c r="CF36" s="245"/>
      <c r="CG36" s="257">
        <v>0</v>
      </c>
      <c r="CH36" s="257">
        <v>0</v>
      </c>
      <c r="CI36" s="257">
        <f>CG36*CH36</f>
        <v>0</v>
      </c>
      <c r="CK36" s="250" t="s">
        <v>622</v>
      </c>
      <c r="CL36" s="245"/>
      <c r="CM36" s="245"/>
      <c r="CN36" s="245"/>
      <c r="CO36" s="257">
        <v>1</v>
      </c>
      <c r="CP36" s="257">
        <v>0</v>
      </c>
      <c r="CQ36" s="245"/>
      <c r="CR36" s="257">
        <v>0</v>
      </c>
      <c r="CS36" s="257">
        <v>0</v>
      </c>
      <c r="CT36" s="257">
        <f>CR36*CS36</f>
        <v>0</v>
      </c>
      <c r="CV36" s="248"/>
      <c r="CW36" s="338"/>
      <c r="CX36" s="338"/>
      <c r="CY36" s="338"/>
      <c r="CZ36" s="338"/>
      <c r="DA36" s="338"/>
      <c r="DB36" s="245"/>
      <c r="DC36" s="338"/>
      <c r="DD36" s="338"/>
      <c r="DE36" s="338"/>
      <c r="DG36" s="248"/>
      <c r="DH36" s="338"/>
      <c r="DI36" s="338"/>
      <c r="DJ36" s="338"/>
      <c r="DK36" s="338"/>
      <c r="DL36" s="338"/>
      <c r="DM36" s="245"/>
      <c r="DN36" s="338"/>
      <c r="DO36" s="338"/>
      <c r="DP36" s="338"/>
      <c r="DR36" s="248"/>
      <c r="DS36" s="338"/>
      <c r="DT36" s="338"/>
      <c r="DU36" s="338"/>
      <c r="DV36" s="338"/>
      <c r="DW36" s="338"/>
      <c r="DX36" s="245"/>
      <c r="DY36" s="338"/>
      <c r="DZ36" s="338"/>
      <c r="EA36" s="338"/>
      <c r="EC36" s="250" t="s">
        <v>666</v>
      </c>
      <c r="ED36" s="255">
        <v>3.5</v>
      </c>
      <c r="EE36" s="255">
        <v>0</v>
      </c>
      <c r="EF36" s="258">
        <f ca="1">VALUE(Width)+1.625</f>
        <v>1.625</v>
      </c>
      <c r="EG36" s="343">
        <v>0.28299999999999997</v>
      </c>
      <c r="EH36" s="390">
        <v>1</v>
      </c>
      <c r="EI36" s="347">
        <f ca="1">((PI()*EF36*EG36/4)*(ED36^2-EE36^2))*EH36</f>
        <v>4.4245160098069185</v>
      </c>
      <c r="EJ36" s="348">
        <f ca="1">(((EI36/386.4)*(ED36^2+EE36^2))/8)</f>
        <v>1.7533747774370716E-2</v>
      </c>
      <c r="EK36" s="341" t="e">
        <f ca="1">(ED36/ED6)*Ratio</f>
        <v>#N/A</v>
      </c>
      <c r="EL36" s="349" t="e">
        <f ca="1">(EJ36/(EK36^2))</f>
        <v>#N/A</v>
      </c>
      <c r="EN36" s="250" t="s">
        <v>666</v>
      </c>
      <c r="EO36" s="255">
        <v>5</v>
      </c>
      <c r="EP36" s="255">
        <v>0</v>
      </c>
      <c r="EQ36" s="258">
        <f ca="1">VALUE(Width)+1.625</f>
        <v>1.625</v>
      </c>
      <c r="ER36" s="343">
        <v>0.28299999999999997</v>
      </c>
      <c r="ES36" s="390">
        <v>1</v>
      </c>
      <c r="ET36" s="347">
        <f ca="1">((PI()*EQ36*ER36/4)*(EO36^2-EP36^2))*ES36</f>
        <v>9.0296245098100378</v>
      </c>
      <c r="EU36" s="348">
        <f ca="1">(((ET36/386.4)*(EO36^2+EP36^2))/8)</f>
        <v>7.3026854537154157E-2</v>
      </c>
      <c r="EV36" s="341" t="e">
        <f ca="1">(EO36/EO6)*Ratio</f>
        <v>#N/A</v>
      </c>
      <c r="EW36" s="349" t="e">
        <f ca="1">(EU36/(EV36^2))</f>
        <v>#N/A</v>
      </c>
      <c r="EY36" s="250" t="s">
        <v>666</v>
      </c>
      <c r="EZ36" s="255">
        <v>3.5</v>
      </c>
      <c r="FA36" s="255">
        <v>0</v>
      </c>
      <c r="FB36" s="258">
        <f ca="1">VALUE(Width)+1.625</f>
        <v>1.625</v>
      </c>
      <c r="FC36" s="343">
        <v>0.28299999999999997</v>
      </c>
      <c r="FD36" s="390">
        <v>1</v>
      </c>
      <c r="FE36" s="347">
        <f ca="1">((PI()*FB36*FC36/4)*(EZ36^2-FA36^2))*FD36</f>
        <v>4.4245160098069185</v>
      </c>
      <c r="FF36" s="348">
        <f ca="1">(((FE36/386.4)*(EZ36^2+FA36^2))/8)</f>
        <v>1.7533747774370716E-2</v>
      </c>
      <c r="FG36" s="341" t="e">
        <f ca="1">(EZ36/EZ6)*Ratio</f>
        <v>#N/A</v>
      </c>
      <c r="FH36" s="349" t="e">
        <f ca="1">(FF36/(FG36^2))</f>
        <v>#N/A</v>
      </c>
      <c r="FJ36" s="250" t="s">
        <v>666</v>
      </c>
      <c r="FK36" s="255">
        <v>5</v>
      </c>
      <c r="FL36" s="255">
        <v>0</v>
      </c>
      <c r="FM36" s="258">
        <f ca="1">VALUE(Width)+1.625</f>
        <v>1.625</v>
      </c>
      <c r="FN36" s="343">
        <v>0.28299999999999997</v>
      </c>
      <c r="FO36" s="390">
        <v>1</v>
      </c>
      <c r="FP36" s="347">
        <f ca="1">((PI()*FM36*FN36/4)*(FK36^2-FL36^2))*FO36</f>
        <v>9.0296245098100378</v>
      </c>
      <c r="FQ36" s="348">
        <f ca="1">(((FP36/386.4)*(FK36^2+FL36^2))/8)</f>
        <v>7.3026854537154157E-2</v>
      </c>
      <c r="FR36" s="341" t="e">
        <f ca="1">(FK36/FK6)*Ratio</f>
        <v>#N/A</v>
      </c>
      <c r="FS36" s="349" t="e">
        <f ca="1">(FQ36/(FR36^2))</f>
        <v>#N/A</v>
      </c>
      <c r="FU36" s="250" t="s">
        <v>666</v>
      </c>
      <c r="FV36" s="255">
        <v>5</v>
      </c>
      <c r="FW36" s="255">
        <v>0</v>
      </c>
      <c r="FX36" s="258">
        <f ca="1">VALUE(Width)+1.625</f>
        <v>1.625</v>
      </c>
      <c r="FY36" s="343">
        <v>0.28299999999999997</v>
      </c>
      <c r="FZ36" s="390">
        <v>1</v>
      </c>
      <c r="GA36" s="347">
        <f ca="1">((PI()*FX36*FY36/4)*(FV36^2-FW36^2))*FZ36</f>
        <v>9.0296245098100378</v>
      </c>
      <c r="GB36" s="348">
        <f ca="1">(((GA36/386.4)*(FV36^2+FW36^2))/8)</f>
        <v>7.3026854537154157E-2</v>
      </c>
      <c r="GC36" s="341" t="e">
        <f ca="1">(FV36/FV6)*Ratio</f>
        <v>#N/A</v>
      </c>
      <c r="GD36" s="349" t="e">
        <f ca="1">(GB36/(GC36^2))</f>
        <v>#N/A</v>
      </c>
    </row>
    <row r="37" spans="1:186" ht="15.75" x14ac:dyDescent="0.25">
      <c r="A37" s="250"/>
      <c r="B37" s="261"/>
      <c r="C37" s="245"/>
      <c r="D37" s="245"/>
      <c r="E37" s="245"/>
      <c r="F37" s="245"/>
      <c r="G37" s="245"/>
      <c r="H37" s="245"/>
      <c r="I37" s="245"/>
      <c r="J37" s="245"/>
      <c r="L37" s="250"/>
      <c r="M37" s="261"/>
      <c r="N37" s="245"/>
      <c r="O37" s="245"/>
      <c r="P37" s="245"/>
      <c r="Q37" s="245"/>
      <c r="R37" s="245"/>
      <c r="S37" s="245"/>
      <c r="T37" s="245"/>
      <c r="U37" s="245"/>
      <c r="W37" s="250"/>
      <c r="X37" s="261"/>
      <c r="Y37" s="245"/>
      <c r="Z37" s="245"/>
      <c r="AA37" s="245"/>
      <c r="AB37" s="245"/>
      <c r="AC37" s="245"/>
      <c r="AD37" s="245"/>
      <c r="AE37" s="245"/>
      <c r="AF37" s="245"/>
      <c r="AH37" s="250"/>
      <c r="AI37" s="261"/>
      <c r="AJ37" s="245"/>
      <c r="AK37" s="245"/>
      <c r="AL37" s="245"/>
      <c r="AM37" s="245"/>
      <c r="AN37" s="245"/>
      <c r="AO37" s="245"/>
      <c r="AP37" s="245"/>
      <c r="AQ37" s="245"/>
      <c r="AS37" s="250"/>
      <c r="AT37" s="245"/>
      <c r="AU37" s="245"/>
      <c r="AV37" s="245"/>
      <c r="AW37" s="245"/>
      <c r="AX37" s="245"/>
      <c r="AY37" s="245"/>
      <c r="AZ37" s="245"/>
      <c r="BA37" s="245"/>
      <c r="BB37" s="245"/>
      <c r="BD37" s="250"/>
      <c r="BE37" s="245"/>
      <c r="BF37" s="245"/>
      <c r="BG37" s="245"/>
      <c r="BH37" s="245"/>
      <c r="BI37" s="245"/>
      <c r="BJ37" s="245"/>
      <c r="BK37" s="245"/>
      <c r="BL37" s="245"/>
      <c r="BM37" s="245"/>
      <c r="BO37" s="250" t="s">
        <v>622</v>
      </c>
      <c r="BP37" s="245"/>
      <c r="BQ37" s="245"/>
      <c r="BR37" s="245"/>
      <c r="BS37" s="257">
        <v>1</v>
      </c>
      <c r="BT37" s="257">
        <v>0</v>
      </c>
      <c r="BU37" s="245"/>
      <c r="BV37" s="257">
        <v>0</v>
      </c>
      <c r="BW37" s="257">
        <v>0</v>
      </c>
      <c r="BX37" s="257">
        <f>BV37*BW37</f>
        <v>0</v>
      </c>
      <c r="CK37" s="250"/>
      <c r="CL37" s="338" t="s">
        <v>114</v>
      </c>
      <c r="CM37" s="338" t="s">
        <v>623</v>
      </c>
      <c r="CN37" s="338" t="s">
        <v>624</v>
      </c>
      <c r="CO37" s="338" t="s">
        <v>625</v>
      </c>
      <c r="CP37" s="338" t="s">
        <v>626</v>
      </c>
      <c r="CQ37" s="338" t="s">
        <v>575</v>
      </c>
      <c r="CR37" s="338" t="s">
        <v>576</v>
      </c>
      <c r="CS37" s="338" t="s">
        <v>103</v>
      </c>
      <c r="CT37" s="338" t="s">
        <v>577</v>
      </c>
      <c r="CV37" s="250" t="s">
        <v>622</v>
      </c>
      <c r="CW37" s="1037"/>
      <c r="CX37" s="1037"/>
      <c r="CY37" s="1038"/>
      <c r="CZ37" s="257">
        <v>1</v>
      </c>
      <c r="DA37" s="257">
        <v>0</v>
      </c>
      <c r="DB37" s="245"/>
      <c r="DC37" s="257">
        <v>0</v>
      </c>
      <c r="DD37" s="257">
        <v>0</v>
      </c>
      <c r="DE37" s="257">
        <f>DC37*DA37</f>
        <v>0</v>
      </c>
      <c r="DG37" s="250" t="s">
        <v>622</v>
      </c>
      <c r="DH37" s="1037"/>
      <c r="DI37" s="1037"/>
      <c r="DJ37" s="1038"/>
      <c r="DK37" s="257">
        <v>1</v>
      </c>
      <c r="DL37" s="257">
        <v>0</v>
      </c>
      <c r="DM37" s="245"/>
      <c r="DN37" s="257">
        <v>0</v>
      </c>
      <c r="DO37" s="257">
        <v>0</v>
      </c>
      <c r="DP37" s="257">
        <f>DN37*DL37</f>
        <v>0</v>
      </c>
      <c r="DR37" s="250" t="s">
        <v>622</v>
      </c>
      <c r="DS37" s="1037"/>
      <c r="DT37" s="1037"/>
      <c r="DU37" s="1038"/>
      <c r="DV37" s="257">
        <v>1</v>
      </c>
      <c r="DW37" s="257">
        <v>0</v>
      </c>
      <c r="DX37" s="245"/>
      <c r="DY37" s="257">
        <v>0</v>
      </c>
      <c r="DZ37" s="257">
        <v>0</v>
      </c>
      <c r="EA37" s="257">
        <f>DY37*DW37</f>
        <v>0</v>
      </c>
    </row>
    <row r="38" spans="1:186" ht="15.75" x14ac:dyDescent="0.25">
      <c r="A38" s="250"/>
      <c r="B38" s="261"/>
      <c r="C38" s="245"/>
      <c r="D38" s="245"/>
      <c r="E38" s="245"/>
      <c r="F38" s="245"/>
      <c r="G38" s="245"/>
      <c r="H38" s="245"/>
      <c r="I38" s="245"/>
      <c r="J38" s="245"/>
      <c r="L38" s="250"/>
      <c r="M38" s="261"/>
      <c r="N38" s="245"/>
      <c r="O38" s="245"/>
      <c r="P38" s="245"/>
      <c r="Q38" s="245"/>
      <c r="R38" s="245"/>
      <c r="S38" s="245"/>
      <c r="T38" s="245"/>
      <c r="U38" s="245"/>
      <c r="W38" s="250"/>
      <c r="X38" s="261"/>
      <c r="Y38" s="245"/>
      <c r="Z38" s="245"/>
      <c r="AA38" s="245"/>
      <c r="AB38" s="245"/>
      <c r="AC38" s="245"/>
      <c r="AD38" s="245"/>
      <c r="AE38" s="245"/>
      <c r="AF38" s="245"/>
      <c r="AH38" s="250"/>
      <c r="AI38" s="261"/>
      <c r="AJ38" s="245"/>
      <c r="AK38" s="245"/>
      <c r="AL38" s="245"/>
      <c r="AM38" s="245"/>
      <c r="AN38" s="245"/>
      <c r="AO38" s="245"/>
      <c r="AP38" s="245"/>
      <c r="AQ38" s="245"/>
      <c r="AS38" s="250"/>
      <c r="AT38" s="245"/>
      <c r="AU38" s="245"/>
      <c r="AV38" s="245"/>
      <c r="AW38" s="245"/>
      <c r="AX38" s="245"/>
      <c r="AY38" s="245"/>
      <c r="AZ38" s="245"/>
      <c r="BA38" s="245"/>
      <c r="BB38" s="245"/>
      <c r="BD38" s="250"/>
      <c r="BE38" s="245"/>
      <c r="BF38" s="245"/>
      <c r="BG38" s="245"/>
      <c r="BH38" s="245"/>
      <c r="BI38" s="245"/>
      <c r="BJ38" s="245"/>
      <c r="BK38" s="245"/>
      <c r="BL38" s="245"/>
      <c r="BM38" s="245"/>
      <c r="CK38" s="250" t="s">
        <v>628</v>
      </c>
      <c r="CL38" s="338">
        <f ca="1">MatWidth</f>
        <v>16</v>
      </c>
      <c r="CM38" s="338">
        <f ca="1">MatThickness</f>
        <v>0.3</v>
      </c>
      <c r="CN38" s="338">
        <f ca="1">MatLnFLT</f>
        <v>24</v>
      </c>
      <c r="CO38" s="338">
        <f ca="1">MatDensity</f>
        <v>0.28299999999999997</v>
      </c>
      <c r="CP38" s="338">
        <f ca="1">MatLoop</f>
        <v>339.29200658769764</v>
      </c>
      <c r="CQ38" s="259">
        <f ca="1">CL38*CM38*CO38*CP38</f>
        <v>460.89426174872841</v>
      </c>
      <c r="CR38" s="260">
        <f ca="1">((CL38*CM38*CN38*CO38)/32.3)*(((CL7*0.5)^2)/144)*12</f>
        <v>0.33644582043343646</v>
      </c>
      <c r="CS38" s="257" t="e">
        <f ca="1">Ratio</f>
        <v>#N/A</v>
      </c>
      <c r="CT38" s="260" t="e">
        <f ca="1">CR38/(CS38^2)</f>
        <v>#N/A</v>
      </c>
      <c r="CV38" s="250"/>
      <c r="CW38" s="245"/>
      <c r="CX38" s="245"/>
      <c r="CY38" s="257"/>
      <c r="CZ38" s="245"/>
      <c r="DA38" s="245"/>
      <c r="DB38" s="245"/>
      <c r="DC38" s="245"/>
      <c r="DD38" s="245"/>
      <c r="DE38" s="245"/>
      <c r="DG38" s="250"/>
      <c r="DH38" s="245"/>
      <c r="DI38" s="245"/>
      <c r="DJ38" s="257"/>
      <c r="DK38" s="245"/>
      <c r="DL38" s="245"/>
      <c r="DM38" s="245"/>
      <c r="DN38" s="245"/>
      <c r="DO38" s="245"/>
      <c r="DP38" s="245"/>
      <c r="DR38" s="250"/>
      <c r="DS38" s="245"/>
      <c r="DT38" s="245"/>
      <c r="DU38" s="257"/>
      <c r="DV38" s="245"/>
      <c r="DW38" s="245"/>
      <c r="DX38" s="245"/>
      <c r="DY38" s="245"/>
      <c r="DZ38" s="245"/>
      <c r="EA38" s="245"/>
      <c r="EC38" s="248"/>
      <c r="ED38" s="338" t="s">
        <v>619</v>
      </c>
      <c r="EE38" s="338" t="s">
        <v>620</v>
      </c>
      <c r="EF38" s="338"/>
      <c r="EG38" s="338" t="s">
        <v>621</v>
      </c>
      <c r="EH38" s="338" t="s">
        <v>574</v>
      </c>
      <c r="EI38" s="245"/>
      <c r="EJ38" s="338" t="s">
        <v>576</v>
      </c>
      <c r="EK38" s="338" t="s">
        <v>103</v>
      </c>
      <c r="EL38" s="338" t="s">
        <v>577</v>
      </c>
      <c r="EN38" s="248"/>
      <c r="EO38" s="338" t="s">
        <v>619</v>
      </c>
      <c r="EP38" s="338" t="s">
        <v>620</v>
      </c>
      <c r="EQ38" s="338"/>
      <c r="ER38" s="338" t="s">
        <v>621</v>
      </c>
      <c r="ES38" s="338" t="s">
        <v>574</v>
      </c>
      <c r="ET38" s="245"/>
      <c r="EU38" s="338" t="s">
        <v>576</v>
      </c>
      <c r="EV38" s="338" t="s">
        <v>103</v>
      </c>
      <c r="EW38" s="338" t="s">
        <v>577</v>
      </c>
      <c r="EY38" s="248"/>
      <c r="EZ38" s="338" t="s">
        <v>619</v>
      </c>
      <c r="FA38" s="338" t="s">
        <v>620</v>
      </c>
      <c r="FB38" s="338"/>
      <c r="FC38" s="338" t="s">
        <v>621</v>
      </c>
      <c r="FD38" s="338" t="s">
        <v>574</v>
      </c>
      <c r="FE38" s="245"/>
      <c r="FF38" s="338" t="s">
        <v>576</v>
      </c>
      <c r="FG38" s="338" t="s">
        <v>103</v>
      </c>
      <c r="FH38" s="338" t="s">
        <v>577</v>
      </c>
      <c r="FJ38" s="248"/>
      <c r="FK38" s="338" t="s">
        <v>619</v>
      </c>
      <c r="FL38" s="338" t="s">
        <v>620</v>
      </c>
      <c r="FM38" s="338"/>
      <c r="FN38" s="338" t="s">
        <v>621</v>
      </c>
      <c r="FO38" s="338" t="s">
        <v>574</v>
      </c>
      <c r="FP38" s="245"/>
      <c r="FQ38" s="338" t="s">
        <v>576</v>
      </c>
      <c r="FR38" s="338" t="s">
        <v>103</v>
      </c>
      <c r="FS38" s="338" t="s">
        <v>577</v>
      </c>
      <c r="FU38" s="248"/>
      <c r="FV38" s="338" t="s">
        <v>619</v>
      </c>
      <c r="FW38" s="338" t="s">
        <v>620</v>
      </c>
      <c r="FX38" s="338"/>
      <c r="FY38" s="338" t="s">
        <v>621</v>
      </c>
      <c r="FZ38" s="338" t="s">
        <v>574</v>
      </c>
      <c r="GA38" s="245"/>
      <c r="GB38" s="338" t="s">
        <v>576</v>
      </c>
      <c r="GC38" s="338" t="s">
        <v>103</v>
      </c>
      <c r="GD38" s="338" t="s">
        <v>577</v>
      </c>
    </row>
    <row r="39" spans="1:186" ht="15.75" x14ac:dyDescent="0.25">
      <c r="A39" s="250"/>
      <c r="B39" s="245"/>
      <c r="C39" s="245"/>
      <c r="D39" s="245"/>
      <c r="E39" s="245"/>
      <c r="F39" s="245"/>
      <c r="G39" s="245"/>
      <c r="H39" s="245"/>
      <c r="I39" s="245"/>
      <c r="J39" s="245"/>
      <c r="L39" s="250"/>
      <c r="M39" s="245"/>
      <c r="N39" s="245"/>
      <c r="O39" s="245"/>
      <c r="P39" s="245"/>
      <c r="Q39" s="245"/>
      <c r="R39" s="245"/>
      <c r="S39" s="245"/>
      <c r="T39" s="245"/>
      <c r="U39" s="245"/>
      <c r="W39" s="250"/>
      <c r="X39" s="245"/>
      <c r="Y39" s="245"/>
      <c r="Z39" s="245"/>
      <c r="AA39" s="245"/>
      <c r="AB39" s="245"/>
      <c r="AC39" s="245"/>
      <c r="AD39" s="245"/>
      <c r="AE39" s="245"/>
      <c r="AF39" s="245"/>
      <c r="AH39" s="250"/>
      <c r="AI39" s="245"/>
      <c r="AJ39" s="245"/>
      <c r="AK39" s="245"/>
      <c r="AL39" s="245"/>
      <c r="AM39" s="245"/>
      <c r="AN39" s="245"/>
      <c r="AO39" s="245"/>
      <c r="AP39" s="245"/>
      <c r="AQ39" s="245"/>
      <c r="AS39" s="250"/>
      <c r="AT39" s="338" t="s">
        <v>114</v>
      </c>
      <c r="AU39" s="338" t="s">
        <v>623</v>
      </c>
      <c r="AV39" s="338" t="s">
        <v>624</v>
      </c>
      <c r="AW39" s="338" t="s">
        <v>625</v>
      </c>
      <c r="AX39" s="338" t="s">
        <v>626</v>
      </c>
      <c r="AY39" s="338" t="s">
        <v>575</v>
      </c>
      <c r="AZ39" s="338" t="s">
        <v>576</v>
      </c>
      <c r="BA39" s="338" t="s">
        <v>103</v>
      </c>
      <c r="BB39" s="338" t="s">
        <v>577</v>
      </c>
      <c r="BD39" s="250"/>
      <c r="BE39" s="338" t="s">
        <v>114</v>
      </c>
      <c r="BF39" s="338" t="s">
        <v>623</v>
      </c>
      <c r="BG39" s="338" t="s">
        <v>624</v>
      </c>
      <c r="BH39" s="338" t="s">
        <v>625</v>
      </c>
      <c r="BI39" s="338" t="s">
        <v>626</v>
      </c>
      <c r="BJ39" s="338" t="s">
        <v>575</v>
      </c>
      <c r="BK39" s="338" t="s">
        <v>576</v>
      </c>
      <c r="BL39" s="338" t="s">
        <v>103</v>
      </c>
      <c r="BM39" s="338" t="s">
        <v>577</v>
      </c>
      <c r="BO39" s="250"/>
      <c r="BP39" s="338" t="s">
        <v>114</v>
      </c>
      <c r="BQ39" s="338" t="s">
        <v>623</v>
      </c>
      <c r="BR39" s="338" t="s">
        <v>624</v>
      </c>
      <c r="BS39" s="338" t="s">
        <v>625</v>
      </c>
      <c r="BT39" s="338" t="s">
        <v>626</v>
      </c>
      <c r="BU39" s="338" t="s">
        <v>575</v>
      </c>
      <c r="BV39" s="338" t="s">
        <v>576</v>
      </c>
      <c r="BW39" s="338" t="s">
        <v>103</v>
      </c>
      <c r="BX39" s="338" t="s">
        <v>577</v>
      </c>
      <c r="BZ39" s="250"/>
      <c r="CA39" s="338" t="s">
        <v>114</v>
      </c>
      <c r="CB39" s="338" t="s">
        <v>623</v>
      </c>
      <c r="CC39" s="338" t="s">
        <v>624</v>
      </c>
      <c r="CD39" s="338" t="s">
        <v>625</v>
      </c>
      <c r="CE39" s="338" t="s">
        <v>626</v>
      </c>
      <c r="CF39" s="338" t="s">
        <v>575</v>
      </c>
      <c r="CG39" s="338" t="s">
        <v>576</v>
      </c>
      <c r="CH39" s="338" t="s">
        <v>103</v>
      </c>
      <c r="CI39" s="338" t="s">
        <v>577</v>
      </c>
      <c r="CK39" s="250"/>
      <c r="CL39" s="261"/>
      <c r="CM39" s="245"/>
      <c r="CN39" s="245"/>
      <c r="CO39" s="245"/>
      <c r="CP39" s="245"/>
      <c r="CQ39" s="245"/>
      <c r="CR39" s="245"/>
      <c r="CS39" s="245"/>
      <c r="CT39" s="245"/>
      <c r="CV39" s="250"/>
      <c r="CW39" s="245"/>
      <c r="CX39" s="245"/>
      <c r="CY39" s="245"/>
      <c r="CZ39" s="245"/>
      <c r="DA39" s="245"/>
      <c r="DB39" s="245"/>
      <c r="DC39" s="245"/>
      <c r="DD39" s="245"/>
      <c r="DE39" s="245"/>
      <c r="DG39" s="250"/>
      <c r="DH39" s="245"/>
      <c r="DI39" s="245"/>
      <c r="DJ39" s="245"/>
      <c r="DK39" s="245"/>
      <c r="DL39" s="245"/>
      <c r="DM39" s="245"/>
      <c r="DN39" s="245"/>
      <c r="DO39" s="245"/>
      <c r="DP39" s="245"/>
      <c r="DR39" s="250"/>
      <c r="DS39" s="245"/>
      <c r="DT39" s="245"/>
      <c r="DU39" s="245"/>
      <c r="DV39" s="245"/>
      <c r="DW39" s="245"/>
      <c r="DX39" s="245"/>
      <c r="DY39" s="245"/>
      <c r="DZ39" s="245"/>
      <c r="EA39" s="245"/>
      <c r="EC39" s="250" t="s">
        <v>622</v>
      </c>
      <c r="ED39" s="1037" t="s">
        <v>803</v>
      </c>
      <c r="EE39" s="1037"/>
      <c r="EF39" s="1038"/>
      <c r="EG39" s="257">
        <v>0.97</v>
      </c>
      <c r="EH39" s="257">
        <v>1</v>
      </c>
      <c r="EI39" s="245"/>
      <c r="EJ39" s="257">
        <v>3.2000000000000001E-2</v>
      </c>
      <c r="EK39" s="257">
        <v>5</v>
      </c>
      <c r="EL39" s="257">
        <f>EJ39*EH39</f>
        <v>3.2000000000000001E-2</v>
      </c>
      <c r="EN39" s="250" t="s">
        <v>622</v>
      </c>
      <c r="EO39" s="1037" t="s">
        <v>803</v>
      </c>
      <c r="EP39" s="1037"/>
      <c r="EQ39" s="1038"/>
      <c r="ER39" s="257">
        <v>0.97</v>
      </c>
      <c r="ES39" s="257">
        <v>1</v>
      </c>
      <c r="ET39" s="245"/>
      <c r="EU39" s="257">
        <v>3.2000000000000001E-2</v>
      </c>
      <c r="EV39" s="257">
        <v>5</v>
      </c>
      <c r="EW39" s="257">
        <f>EU39*ES39</f>
        <v>3.2000000000000001E-2</v>
      </c>
      <c r="EY39" s="250" t="s">
        <v>622</v>
      </c>
      <c r="EZ39" s="1037" t="s">
        <v>802</v>
      </c>
      <c r="FA39" s="1037"/>
      <c r="FB39" s="1038"/>
      <c r="FC39" s="257">
        <v>0.97</v>
      </c>
      <c r="FD39" s="257">
        <v>1</v>
      </c>
      <c r="FE39" s="245"/>
      <c r="FF39" s="257">
        <v>8.8999999999999996E-2</v>
      </c>
      <c r="FG39" s="257">
        <v>5</v>
      </c>
      <c r="FH39" s="257">
        <f>FF39*FD39</f>
        <v>8.8999999999999996E-2</v>
      </c>
      <c r="FJ39" s="250" t="s">
        <v>622</v>
      </c>
      <c r="FK39" s="1037" t="s">
        <v>802</v>
      </c>
      <c r="FL39" s="1037"/>
      <c r="FM39" s="1038"/>
      <c r="FN39" s="257">
        <v>0.97</v>
      </c>
      <c r="FO39" s="257">
        <v>1</v>
      </c>
      <c r="FP39" s="245"/>
      <c r="FQ39" s="257">
        <v>8.8999999999999996E-2</v>
      </c>
      <c r="FR39" s="257">
        <v>5</v>
      </c>
      <c r="FS39" s="257">
        <f>FQ39*FO39</f>
        <v>8.8999999999999996E-2</v>
      </c>
      <c r="FU39" s="250" t="s">
        <v>622</v>
      </c>
      <c r="FV39" s="1037" t="s">
        <v>802</v>
      </c>
      <c r="FW39" s="1037"/>
      <c r="FX39" s="1038"/>
      <c r="FY39" s="257">
        <v>0.97</v>
      </c>
      <c r="FZ39" s="257">
        <v>1</v>
      </c>
      <c r="GA39" s="245"/>
      <c r="GB39" s="257">
        <v>8.8999999999999996E-2</v>
      </c>
      <c r="GC39" s="257">
        <v>5</v>
      </c>
      <c r="GD39" s="257">
        <f>GB39*FZ39</f>
        <v>8.8999999999999996E-2</v>
      </c>
    </row>
    <row r="40" spans="1:186" ht="15.75" x14ac:dyDescent="0.25">
      <c r="A40" s="250" t="s">
        <v>104</v>
      </c>
      <c r="B40" s="245"/>
      <c r="C40" s="245"/>
      <c r="D40" s="245"/>
      <c r="E40" s="245"/>
      <c r="F40" s="245"/>
      <c r="G40" s="245"/>
      <c r="H40" s="245"/>
      <c r="I40" s="245"/>
      <c r="J40" s="245"/>
      <c r="L40" s="250" t="s">
        <v>104</v>
      </c>
      <c r="M40" s="245"/>
      <c r="N40" s="245"/>
      <c r="O40" s="245"/>
      <c r="P40" s="245"/>
      <c r="Q40" s="245"/>
      <c r="R40" s="245"/>
      <c r="S40" s="245"/>
      <c r="T40" s="245"/>
      <c r="U40" s="245"/>
      <c r="W40" s="250" t="s">
        <v>104</v>
      </c>
      <c r="X40" s="245"/>
      <c r="Y40" s="245"/>
      <c r="Z40" s="245"/>
      <c r="AA40" s="245"/>
      <c r="AB40" s="245"/>
      <c r="AC40" s="245"/>
      <c r="AD40" s="245"/>
      <c r="AE40" s="245"/>
      <c r="AF40" s="245"/>
      <c r="AH40" s="250" t="s">
        <v>104</v>
      </c>
      <c r="AI40" s="245"/>
      <c r="AJ40" s="245"/>
      <c r="AK40" s="245"/>
      <c r="AL40" s="245"/>
      <c r="AM40" s="245"/>
      <c r="AN40" s="245"/>
      <c r="AO40" s="245"/>
      <c r="AP40" s="245"/>
      <c r="AQ40" s="245"/>
      <c r="AS40" s="250" t="s">
        <v>628</v>
      </c>
      <c r="AT40" s="338">
        <f ca="1">MatWidth</f>
        <v>16</v>
      </c>
      <c r="AU40" s="338">
        <f ca="1">MatThickness</f>
        <v>0.3</v>
      </c>
      <c r="AV40" s="338">
        <f ca="1">MatLnFLT</f>
        <v>24</v>
      </c>
      <c r="AW40" s="338">
        <f ca="1">MatDensity</f>
        <v>0.28299999999999997</v>
      </c>
      <c r="AX40" s="338">
        <f ca="1">MatLoop</f>
        <v>339.29200658769764</v>
      </c>
      <c r="AY40" s="259">
        <f ca="1">AT40*AU40*AW40*AX40</f>
        <v>460.89426174872841</v>
      </c>
      <c r="AZ40" s="260">
        <f ca="1">((AT40*AU40*AV40*AW40)/32.3)*(((AT7*0.5)^2)/144)*12</f>
        <v>0.18925077399380802</v>
      </c>
      <c r="BA40" s="257" t="e">
        <f ca="1">Ratio</f>
        <v>#N/A</v>
      </c>
      <c r="BB40" s="260" t="e">
        <f ca="1">AZ40/(BA40^2)</f>
        <v>#N/A</v>
      </c>
      <c r="BD40" s="250" t="s">
        <v>628</v>
      </c>
      <c r="BE40" s="338">
        <f ca="1">MatWidth</f>
        <v>16</v>
      </c>
      <c r="BF40" s="338">
        <f ca="1">MatThickness</f>
        <v>0.3</v>
      </c>
      <c r="BG40" s="338">
        <f ca="1">MatLnFLT</f>
        <v>24</v>
      </c>
      <c r="BH40" s="338">
        <f ca="1">MatDensity</f>
        <v>0.28299999999999997</v>
      </c>
      <c r="BI40" s="338">
        <f ca="1">MatLoop</f>
        <v>339.29200658769764</v>
      </c>
      <c r="BJ40" s="259">
        <f ca="1">BE40*BF40*BH40*BI40</f>
        <v>460.89426174872841</v>
      </c>
      <c r="BK40" s="260">
        <f ca="1">((BE40*BF40*BG40*BH40)/32.3)*(((BE7*0.5)^2)/144)*12</f>
        <v>0.18925077399380802</v>
      </c>
      <c r="BL40" s="257" t="e">
        <f ca="1">Ratio</f>
        <v>#N/A</v>
      </c>
      <c r="BM40" s="260" t="e">
        <f ca="1">BK40/(BL40^2)</f>
        <v>#N/A</v>
      </c>
      <c r="BO40" s="250" t="s">
        <v>628</v>
      </c>
      <c r="BP40" s="338">
        <f ca="1">MatWidth</f>
        <v>16</v>
      </c>
      <c r="BQ40" s="338">
        <f ca="1">MatThickness</f>
        <v>0.3</v>
      </c>
      <c r="BR40" s="338">
        <f ca="1">MatLnFLT</f>
        <v>24</v>
      </c>
      <c r="BS40" s="338">
        <f ca="1">MatDensity</f>
        <v>0.28299999999999997</v>
      </c>
      <c r="BT40" s="338">
        <f ca="1">MatLoop</f>
        <v>339.29200658769764</v>
      </c>
      <c r="BU40" s="259">
        <f ca="1">BP40*BQ40*BS40*BT40</f>
        <v>460.89426174872841</v>
      </c>
      <c r="BV40" s="260">
        <f ca="1">((BP40*BQ40*BR40*BS40)/32.3)*(((BP7*0.5)^2)/144)*12</f>
        <v>0.18925077399380802</v>
      </c>
      <c r="BW40" s="257" t="e">
        <f ca="1">Ratio</f>
        <v>#N/A</v>
      </c>
      <c r="BX40" s="260" t="e">
        <f ca="1">BV40/(BW40^2)</f>
        <v>#N/A</v>
      </c>
      <c r="BZ40" s="250" t="s">
        <v>628</v>
      </c>
      <c r="CA40" s="338">
        <f ca="1">MatWidth</f>
        <v>16</v>
      </c>
      <c r="CB40" s="338">
        <f ca="1">MatThickness</f>
        <v>0.3</v>
      </c>
      <c r="CC40" s="338">
        <f ca="1">MatLnFLT</f>
        <v>24</v>
      </c>
      <c r="CD40" s="338">
        <f ca="1">MatDensity</f>
        <v>0.28299999999999997</v>
      </c>
      <c r="CE40" s="338">
        <f ca="1">MatLoop</f>
        <v>339.29200658769764</v>
      </c>
      <c r="CF40" s="259">
        <f ca="1">CA40*CB40*CD40*CE40</f>
        <v>460.89426174872841</v>
      </c>
      <c r="CG40" s="260">
        <f ca="1">((CA40*CB40*CC40*CD40)/32.3)*(((CA7*0.5)^2)/144)*12</f>
        <v>0.33644582043343646</v>
      </c>
      <c r="CH40" s="257" t="e">
        <f ca="1">Ratio</f>
        <v>#N/A</v>
      </c>
      <c r="CI40" s="260" t="e">
        <f ca="1">CG40/(CH40^2)</f>
        <v>#N/A</v>
      </c>
      <c r="CK40" s="250"/>
      <c r="CL40" s="261"/>
      <c r="CM40" s="245"/>
      <c r="CN40" s="245"/>
      <c r="CO40" s="245"/>
      <c r="CP40" s="245"/>
      <c r="CQ40" s="245"/>
      <c r="CR40" s="245"/>
      <c r="CS40" s="245"/>
      <c r="CT40" s="245"/>
      <c r="CV40" s="250"/>
      <c r="CW40" s="338" t="s">
        <v>114</v>
      </c>
      <c r="CX40" s="338" t="s">
        <v>623</v>
      </c>
      <c r="CY40" s="338" t="s">
        <v>624</v>
      </c>
      <c r="CZ40" s="338" t="s">
        <v>625</v>
      </c>
      <c r="DA40" s="338" t="s">
        <v>626</v>
      </c>
      <c r="DB40" s="337" t="s">
        <v>575</v>
      </c>
      <c r="DC40" s="338" t="s">
        <v>576</v>
      </c>
      <c r="DD40" s="338" t="s">
        <v>103</v>
      </c>
      <c r="DE40" s="338" t="s">
        <v>577</v>
      </c>
      <c r="DG40" s="250"/>
      <c r="DH40" s="338" t="s">
        <v>114</v>
      </c>
      <c r="DI40" s="338" t="s">
        <v>623</v>
      </c>
      <c r="DJ40" s="338" t="s">
        <v>624</v>
      </c>
      <c r="DK40" s="338" t="s">
        <v>625</v>
      </c>
      <c r="DL40" s="338" t="s">
        <v>626</v>
      </c>
      <c r="DM40" s="337" t="s">
        <v>575</v>
      </c>
      <c r="DN40" s="338" t="s">
        <v>576</v>
      </c>
      <c r="DO40" s="338" t="s">
        <v>103</v>
      </c>
      <c r="DP40" s="338" t="s">
        <v>577</v>
      </c>
      <c r="DR40" s="250"/>
      <c r="DS40" s="338" t="s">
        <v>114</v>
      </c>
      <c r="DT40" s="338" t="s">
        <v>623</v>
      </c>
      <c r="DU40" s="338" t="s">
        <v>624</v>
      </c>
      <c r="DV40" s="338" t="s">
        <v>625</v>
      </c>
      <c r="DW40" s="338" t="s">
        <v>626</v>
      </c>
      <c r="DX40" s="337" t="s">
        <v>575</v>
      </c>
      <c r="DY40" s="338" t="s">
        <v>576</v>
      </c>
      <c r="DZ40" s="338" t="s">
        <v>103</v>
      </c>
      <c r="EA40" s="338" t="s">
        <v>577</v>
      </c>
      <c r="EC40" s="250"/>
      <c r="ED40" s="338" t="s">
        <v>114</v>
      </c>
      <c r="EE40" s="338" t="s">
        <v>623</v>
      </c>
      <c r="EF40" s="338" t="s">
        <v>624</v>
      </c>
      <c r="EG40" s="338" t="s">
        <v>625</v>
      </c>
      <c r="EH40" s="338" t="s">
        <v>626</v>
      </c>
      <c r="EI40" s="337" t="s">
        <v>575</v>
      </c>
      <c r="EJ40" s="338" t="s">
        <v>576</v>
      </c>
      <c r="EK40" s="338" t="s">
        <v>103</v>
      </c>
      <c r="EL40" s="338" t="s">
        <v>577</v>
      </c>
      <c r="EN40" s="250"/>
      <c r="EO40" s="338" t="s">
        <v>114</v>
      </c>
      <c r="EP40" s="338" t="s">
        <v>623</v>
      </c>
      <c r="EQ40" s="338" t="s">
        <v>624</v>
      </c>
      <c r="ER40" s="338" t="s">
        <v>625</v>
      </c>
      <c r="ES40" s="338" t="s">
        <v>626</v>
      </c>
      <c r="ET40" s="337" t="s">
        <v>575</v>
      </c>
      <c r="EU40" s="338" t="s">
        <v>576</v>
      </c>
      <c r="EV40" s="338" t="s">
        <v>103</v>
      </c>
      <c r="EW40" s="338" t="s">
        <v>577</v>
      </c>
      <c r="EY40" s="250"/>
      <c r="EZ40" s="338" t="s">
        <v>114</v>
      </c>
      <c r="FA40" s="338" t="s">
        <v>623</v>
      </c>
      <c r="FB40" s="338" t="s">
        <v>624</v>
      </c>
      <c r="FC40" s="338" t="s">
        <v>625</v>
      </c>
      <c r="FD40" s="338" t="s">
        <v>626</v>
      </c>
      <c r="FE40" s="337" t="s">
        <v>575</v>
      </c>
      <c r="FF40" s="338" t="s">
        <v>576</v>
      </c>
      <c r="FG40" s="338" t="s">
        <v>103</v>
      </c>
      <c r="FH40" s="338" t="s">
        <v>577</v>
      </c>
      <c r="FJ40" s="250"/>
      <c r="FK40" s="338" t="s">
        <v>114</v>
      </c>
      <c r="FL40" s="338" t="s">
        <v>623</v>
      </c>
      <c r="FM40" s="338" t="s">
        <v>624</v>
      </c>
      <c r="FN40" s="338" t="s">
        <v>625</v>
      </c>
      <c r="FO40" s="338" t="s">
        <v>626</v>
      </c>
      <c r="FP40" s="337" t="s">
        <v>575</v>
      </c>
      <c r="FQ40" s="338" t="s">
        <v>576</v>
      </c>
      <c r="FR40" s="338" t="s">
        <v>103</v>
      </c>
      <c r="FS40" s="338" t="s">
        <v>577</v>
      </c>
      <c r="FU40" s="250"/>
      <c r="FV40" s="338" t="s">
        <v>114</v>
      </c>
      <c r="FW40" s="338" t="s">
        <v>623</v>
      </c>
      <c r="FX40" s="338" t="s">
        <v>624</v>
      </c>
      <c r="FY40" s="338" t="s">
        <v>625</v>
      </c>
      <c r="FZ40" s="338" t="s">
        <v>626</v>
      </c>
      <c r="GA40" s="337" t="s">
        <v>575</v>
      </c>
      <c r="GB40" s="338" t="s">
        <v>576</v>
      </c>
      <c r="GC40" s="338" t="s">
        <v>103</v>
      </c>
      <c r="GD40" s="338" t="s">
        <v>577</v>
      </c>
    </row>
    <row r="41" spans="1:186" ht="15.75" x14ac:dyDescent="0.25">
      <c r="A41" s="250" t="s">
        <v>577</v>
      </c>
      <c r="B41" s="262" t="e">
        <f ca="1">SUM(J7:J36)</f>
        <v>#N/A</v>
      </c>
      <c r="C41" s="245"/>
      <c r="D41" s="245"/>
      <c r="E41" s="245"/>
      <c r="F41" s="245"/>
      <c r="G41" s="245"/>
      <c r="H41" s="245"/>
      <c r="I41" s="245"/>
      <c r="J41" s="245"/>
      <c r="L41" s="250" t="s">
        <v>577</v>
      </c>
      <c r="M41" s="262" t="e">
        <f ca="1">SUM(U7:U36)</f>
        <v>#N/A</v>
      </c>
      <c r="N41" s="245"/>
      <c r="O41" s="245"/>
      <c r="P41" s="245"/>
      <c r="Q41" s="245"/>
      <c r="R41" s="245"/>
      <c r="S41" s="245"/>
      <c r="T41" s="245"/>
      <c r="U41" s="245"/>
      <c r="W41" s="250" t="s">
        <v>577</v>
      </c>
      <c r="X41" s="262" t="e">
        <f ca="1">SUM(AF7:AF36)</f>
        <v>#N/A</v>
      </c>
      <c r="Y41" s="245"/>
      <c r="Z41" s="245"/>
      <c r="AA41" s="245"/>
      <c r="AB41" s="245"/>
      <c r="AC41" s="245"/>
      <c r="AD41" s="245"/>
      <c r="AE41" s="245"/>
      <c r="AF41" s="245"/>
      <c r="AH41" s="250" t="s">
        <v>577</v>
      </c>
      <c r="AI41" s="262" t="e">
        <f ca="1">SUM(AQ7:AQ36)</f>
        <v>#N/A</v>
      </c>
      <c r="AJ41" s="245"/>
      <c r="AK41" s="245"/>
      <c r="AL41" s="245"/>
      <c r="AM41" s="245"/>
      <c r="AN41" s="245"/>
      <c r="AO41" s="245"/>
      <c r="AP41" s="245"/>
      <c r="AQ41" s="245"/>
      <c r="AS41" s="250"/>
      <c r="AT41" s="261"/>
      <c r="AU41" s="245"/>
      <c r="AV41" s="245"/>
      <c r="AW41" s="245"/>
      <c r="AX41" s="245"/>
      <c r="AY41" s="245"/>
      <c r="AZ41" s="245"/>
      <c r="BA41" s="245"/>
      <c r="BB41" s="245"/>
      <c r="BD41" s="250"/>
      <c r="BE41" s="261"/>
      <c r="BF41" s="245"/>
      <c r="BG41" s="245"/>
      <c r="BH41" s="245"/>
      <c r="BI41" s="245"/>
      <c r="BJ41" s="245"/>
      <c r="BK41" s="245"/>
      <c r="BL41" s="245"/>
      <c r="BM41" s="245"/>
      <c r="BO41" s="250"/>
      <c r="BP41" s="245"/>
      <c r="BQ41" s="245"/>
      <c r="BR41" s="245"/>
      <c r="BS41" s="245"/>
      <c r="BT41" s="245"/>
      <c r="BU41" s="245"/>
      <c r="BV41" s="245"/>
      <c r="BW41" s="245"/>
      <c r="BX41" s="245"/>
      <c r="CK41" s="250"/>
      <c r="CL41" s="245"/>
      <c r="CM41" s="245"/>
      <c r="CN41" s="245"/>
      <c r="CO41" s="245"/>
      <c r="CP41" s="245"/>
      <c r="CQ41" s="245"/>
      <c r="CR41" s="245"/>
      <c r="CS41" s="245"/>
      <c r="CT41" s="245"/>
      <c r="CV41" s="250" t="s">
        <v>628</v>
      </c>
      <c r="CW41" s="338">
        <f ca="1">MatWidth</f>
        <v>16</v>
      </c>
      <c r="CX41" s="338">
        <f ca="1">MatThickness</f>
        <v>0.3</v>
      </c>
      <c r="CY41" s="338">
        <f ca="1">MatLnFLT</f>
        <v>24</v>
      </c>
      <c r="CZ41" s="338">
        <f ca="1">MatDensity</f>
        <v>0.28299999999999997</v>
      </c>
      <c r="DA41" s="338">
        <f ca="1">MatLoop</f>
        <v>339.29200658769764</v>
      </c>
      <c r="DB41" s="350">
        <f ca="1">CW41*CX41*CZ41*DA41</f>
        <v>460.89426174872841</v>
      </c>
      <c r="DC41" s="260">
        <f ca="1">((CW41*CX41*CY41*CZ41)/32.3)*(((CW6*0.5)^2)/144)*12</f>
        <v>0.33644582043343646</v>
      </c>
      <c r="DD41" s="257" t="e">
        <f ca="1">Ratio</f>
        <v>#N/A</v>
      </c>
      <c r="DE41" s="260" t="e">
        <f ca="1">DC41/(Ratio^2)</f>
        <v>#N/A</v>
      </c>
      <c r="DG41" s="250" t="s">
        <v>628</v>
      </c>
      <c r="DH41" s="338">
        <f ca="1">MatWidth</f>
        <v>16</v>
      </c>
      <c r="DI41" s="338">
        <f ca="1">MatThickness</f>
        <v>0.3</v>
      </c>
      <c r="DJ41" s="338">
        <f ca="1">MatLnFLT</f>
        <v>24</v>
      </c>
      <c r="DK41" s="338">
        <f ca="1">MatDensity</f>
        <v>0.28299999999999997</v>
      </c>
      <c r="DL41" s="338">
        <f ca="1">MatLoop</f>
        <v>339.29200658769764</v>
      </c>
      <c r="DM41" s="350">
        <f ca="1">DH41*DI41*DK41*DL41</f>
        <v>460.89426174872841</v>
      </c>
      <c r="DN41" s="260">
        <f ca="1">((DH41*DI41*DJ41*DK41)/32.3)*(((DH6*0.5)^2)/144)*12</f>
        <v>0.33644582043343646</v>
      </c>
      <c r="DO41" s="257" t="e">
        <f ca="1">Ratio</f>
        <v>#N/A</v>
      </c>
      <c r="DP41" s="260" t="e">
        <f ca="1">DN41/(Ratio^2)</f>
        <v>#N/A</v>
      </c>
      <c r="DR41" s="250" t="s">
        <v>628</v>
      </c>
      <c r="DS41" s="338">
        <f ca="1">MatWidth</f>
        <v>16</v>
      </c>
      <c r="DT41" s="338">
        <f ca="1">MatThickness</f>
        <v>0.3</v>
      </c>
      <c r="DU41" s="338">
        <f ca="1">MatLnFLT</f>
        <v>24</v>
      </c>
      <c r="DV41" s="338">
        <f ca="1">MatDensity</f>
        <v>0.28299999999999997</v>
      </c>
      <c r="DW41" s="338">
        <f ca="1">MatLoop</f>
        <v>339.29200658769764</v>
      </c>
      <c r="DX41" s="350">
        <f ca="1">DS41*DT41*DV41*DW41</f>
        <v>460.89426174872841</v>
      </c>
      <c r="DY41" s="260">
        <f ca="1">((DS41*DT41*DU41*DV41)/32.3)*(((DS6*0.5)^2)/144)*12</f>
        <v>0.52569659442724448</v>
      </c>
      <c r="DZ41" s="257" t="e">
        <f ca="1">Ratio</f>
        <v>#N/A</v>
      </c>
      <c r="EA41" s="260" t="e">
        <f ca="1">DY41/(Ratio^2)</f>
        <v>#N/A</v>
      </c>
      <c r="EC41" s="250" t="s">
        <v>628</v>
      </c>
      <c r="ED41" s="338">
        <f ca="1">MatWidth</f>
        <v>16</v>
      </c>
      <c r="EE41" s="338">
        <f ca="1">MatThickness</f>
        <v>0.3</v>
      </c>
      <c r="EF41" s="338">
        <f ca="1">MatLnFLT</f>
        <v>24</v>
      </c>
      <c r="EG41" s="338">
        <f ca="1">MatDensity</f>
        <v>0.28299999999999997</v>
      </c>
      <c r="EH41" s="338">
        <f ca="1">MatLoop</f>
        <v>339.29200658769764</v>
      </c>
      <c r="EI41" s="350">
        <f ca="1">ED41*EE41*EG41*EH41</f>
        <v>460.89426174872841</v>
      </c>
      <c r="EJ41" s="260">
        <f ca="1">((ED41*EE41*EF41*EG41)/32.3)*(((ED6*0.5)^2)/144)*12</f>
        <v>0.75700309597523208</v>
      </c>
      <c r="EK41" s="257" t="e">
        <f ca="1">Ratio</f>
        <v>#N/A</v>
      </c>
      <c r="EL41" s="260" t="e">
        <f ca="1">EJ41/(Ratio^2)</f>
        <v>#N/A</v>
      </c>
      <c r="EN41" s="250" t="s">
        <v>628</v>
      </c>
      <c r="EO41" s="338">
        <f ca="1">MatWidth</f>
        <v>16</v>
      </c>
      <c r="EP41" s="338">
        <f ca="1">MatThickness</f>
        <v>0.3</v>
      </c>
      <c r="EQ41" s="338">
        <f ca="1">MatLnFLT</f>
        <v>24</v>
      </c>
      <c r="ER41" s="338">
        <f ca="1">MatDensity</f>
        <v>0.28299999999999997</v>
      </c>
      <c r="ES41" s="338">
        <f ca="1">MatLoop</f>
        <v>339.29200658769764</v>
      </c>
      <c r="ET41" s="350">
        <f ca="1">EO41*EP41*ER41*ES41</f>
        <v>460.89426174872841</v>
      </c>
      <c r="EU41" s="260">
        <f ca="1">((EO41*EP41*EQ41*ER41)/32.3)*(((EO6*0.5)^2)/144)*12</f>
        <v>0.75700309597523208</v>
      </c>
      <c r="EV41" s="257" t="e">
        <f ca="1">Ratio</f>
        <v>#N/A</v>
      </c>
      <c r="EW41" s="260" t="e">
        <f ca="1">EU41/(Ratio^2)</f>
        <v>#N/A</v>
      </c>
      <c r="EY41" s="250" t="s">
        <v>628</v>
      </c>
      <c r="EZ41" s="338">
        <f ca="1">MatWidth</f>
        <v>16</v>
      </c>
      <c r="FA41" s="338">
        <f ca="1">MatThickness</f>
        <v>0.3</v>
      </c>
      <c r="FB41" s="338">
        <f ca="1">MatLnFLT</f>
        <v>24</v>
      </c>
      <c r="FC41" s="338">
        <f ca="1">MatDensity</f>
        <v>0.28299999999999997</v>
      </c>
      <c r="FD41" s="338">
        <f ca="1">MatLoop</f>
        <v>339.29200658769764</v>
      </c>
      <c r="FE41" s="350">
        <f ca="1">EZ41*FA41*FC41*FD41</f>
        <v>460.89426174872841</v>
      </c>
      <c r="FF41" s="260">
        <f ca="1">((EZ41*FA41*FB41*FC41)/32.3)*(((EZ6*0.5)^2)/144)*12</f>
        <v>1.0303653250773992</v>
      </c>
      <c r="FG41" s="257" t="e">
        <f ca="1">Ratio</f>
        <v>#N/A</v>
      </c>
      <c r="FH41" s="260" t="e">
        <f ca="1">FF41/(Ratio^2)</f>
        <v>#N/A</v>
      </c>
      <c r="FJ41" s="250" t="s">
        <v>628</v>
      </c>
      <c r="FK41" s="338">
        <f ca="1">MatWidth</f>
        <v>16</v>
      </c>
      <c r="FL41" s="338">
        <f ca="1">MatThickness</f>
        <v>0.3</v>
      </c>
      <c r="FM41" s="338">
        <f ca="1">MatLnFLT</f>
        <v>24</v>
      </c>
      <c r="FN41" s="338">
        <f ca="1">MatDensity</f>
        <v>0.28299999999999997</v>
      </c>
      <c r="FO41" s="338">
        <f ca="1">MatLoop</f>
        <v>339.29200658769764</v>
      </c>
      <c r="FP41" s="350">
        <f ca="1">FK41*FL41*FN41*FO41</f>
        <v>460.89426174872841</v>
      </c>
      <c r="FQ41" s="260">
        <f ca="1">((FK41*FL41*FM41*FN41)/32.3)*(((FK6*0.5)^2)/144)*12</f>
        <v>1.0303653250773992</v>
      </c>
      <c r="FR41" s="257" t="e">
        <f ca="1">Ratio</f>
        <v>#N/A</v>
      </c>
      <c r="FS41" s="260" t="e">
        <f ca="1">FQ41/(Ratio^2)</f>
        <v>#N/A</v>
      </c>
      <c r="FU41" s="250" t="s">
        <v>628</v>
      </c>
      <c r="FV41" s="338">
        <f ca="1">MatWidth</f>
        <v>16</v>
      </c>
      <c r="FW41" s="338">
        <f ca="1">MatThickness</f>
        <v>0.3</v>
      </c>
      <c r="FX41" s="338">
        <f ca="1">MatLnFLT</f>
        <v>24</v>
      </c>
      <c r="FY41" s="338">
        <f ca="1">MatDensity</f>
        <v>0.28299999999999997</v>
      </c>
      <c r="FZ41" s="338">
        <f ca="1">MatLoop</f>
        <v>339.29200658769764</v>
      </c>
      <c r="GA41" s="350">
        <f ca="1">FV41*FW41*FY41*FZ41</f>
        <v>460.89426174872841</v>
      </c>
      <c r="GB41" s="260">
        <f ca="1">((FV41*FW41*FX41*FY41)/32.3)*(((FV6*0.5)^2)/144)*12</f>
        <v>1.3457832817337458</v>
      </c>
      <c r="GC41" s="257" t="e">
        <f ca="1">Ratio</f>
        <v>#N/A</v>
      </c>
      <c r="GD41" s="260" t="e">
        <f ca="1">GB41/(Ratio^2)</f>
        <v>#N/A</v>
      </c>
    </row>
    <row r="42" spans="1:186" ht="15.75" x14ac:dyDescent="0.25">
      <c r="AS42" s="250" t="s">
        <v>104</v>
      </c>
      <c r="AT42" s="245"/>
      <c r="AU42" s="245"/>
      <c r="AV42" s="245"/>
      <c r="AW42" s="245"/>
      <c r="AX42" s="245"/>
      <c r="AY42" s="245"/>
      <c r="AZ42" s="245"/>
      <c r="BA42" s="245"/>
      <c r="BB42" s="245"/>
      <c r="BD42" s="250" t="s">
        <v>104</v>
      </c>
      <c r="BE42" s="245"/>
      <c r="BF42" s="245"/>
      <c r="BG42" s="245"/>
      <c r="BH42" s="245"/>
      <c r="BI42" s="245"/>
      <c r="BJ42" s="245"/>
      <c r="BK42" s="245"/>
      <c r="BL42" s="245"/>
      <c r="BM42" s="245"/>
      <c r="BO42" s="250" t="s">
        <v>104</v>
      </c>
      <c r="BP42" s="245"/>
      <c r="BQ42" s="245"/>
      <c r="BR42" s="245"/>
      <c r="BS42" s="245"/>
      <c r="BT42" s="245"/>
      <c r="BU42" s="245"/>
      <c r="BV42" s="245"/>
      <c r="BW42" s="245"/>
      <c r="BX42" s="245"/>
      <c r="BZ42" s="250" t="s">
        <v>104</v>
      </c>
      <c r="CA42" s="245"/>
      <c r="CB42" s="245"/>
      <c r="CC42" s="245"/>
      <c r="CD42" s="245"/>
      <c r="CE42" s="245"/>
      <c r="CF42" s="245"/>
      <c r="CG42" s="245"/>
      <c r="CH42" s="245"/>
      <c r="CI42" s="245"/>
      <c r="CK42" s="250" t="s">
        <v>104</v>
      </c>
      <c r="CL42" s="245"/>
      <c r="CM42" s="245"/>
      <c r="CN42" s="245"/>
      <c r="CO42" s="245"/>
      <c r="CP42" s="245"/>
      <c r="CQ42" s="245"/>
      <c r="CR42" s="245"/>
      <c r="CS42" s="245"/>
      <c r="CT42" s="245"/>
      <c r="CV42" s="250"/>
      <c r="CW42" s="261"/>
      <c r="CX42" s="245"/>
      <c r="CY42" s="245"/>
      <c r="CZ42" s="245"/>
      <c r="DA42" s="245"/>
      <c r="DB42" s="245"/>
      <c r="DC42" s="245"/>
      <c r="DD42" s="245"/>
      <c r="DE42" s="245"/>
      <c r="DG42" s="250"/>
      <c r="DH42" s="261"/>
      <c r="DI42" s="245"/>
      <c r="DJ42" s="245"/>
      <c r="DK42" s="245"/>
      <c r="DL42" s="245"/>
      <c r="DM42" s="245"/>
      <c r="DN42" s="245"/>
      <c r="DO42" s="245"/>
      <c r="DP42" s="245"/>
      <c r="DR42" s="250"/>
      <c r="DS42" s="261"/>
      <c r="DT42" s="245"/>
      <c r="DU42" s="245"/>
      <c r="DV42" s="245"/>
      <c r="DW42" s="245"/>
      <c r="DX42" s="245"/>
      <c r="DY42" s="245"/>
      <c r="DZ42" s="245"/>
      <c r="EA42" s="245"/>
      <c r="EC42" s="250"/>
      <c r="ED42" s="261"/>
      <c r="EE42" s="245"/>
      <c r="EF42" s="245"/>
      <c r="EG42" s="245"/>
      <c r="EH42" s="245"/>
      <c r="EI42" s="245"/>
      <c r="EJ42" s="245"/>
      <c r="EK42" s="245"/>
      <c r="EL42" s="245"/>
      <c r="EN42" s="250"/>
      <c r="EO42" s="261"/>
      <c r="EP42" s="245"/>
      <c r="EQ42" s="245"/>
      <c r="ER42" s="245"/>
      <c r="ES42" s="245"/>
      <c r="ET42" s="245"/>
      <c r="EU42" s="245"/>
      <c r="EV42" s="245"/>
      <c r="EW42" s="245"/>
      <c r="EY42" s="250"/>
      <c r="EZ42" s="261"/>
      <c r="FA42" s="245"/>
      <c r="FB42" s="245"/>
      <c r="FC42" s="245"/>
      <c r="FD42" s="245"/>
      <c r="FE42" s="245"/>
      <c r="FF42" s="245"/>
      <c r="FG42" s="245"/>
      <c r="FH42" s="245"/>
      <c r="FJ42" s="250"/>
      <c r="FK42" s="261"/>
      <c r="FL42" s="245"/>
      <c r="FM42" s="245"/>
      <c r="FN42" s="245"/>
      <c r="FO42" s="245"/>
      <c r="FP42" s="245"/>
      <c r="FQ42" s="245"/>
      <c r="FR42" s="245"/>
      <c r="FS42" s="245"/>
      <c r="FU42" s="250"/>
      <c r="FV42" s="261"/>
      <c r="FW42" s="245"/>
      <c r="FX42" s="245"/>
      <c r="FY42" s="245"/>
      <c r="FZ42" s="245"/>
      <c r="GA42" s="245"/>
      <c r="GB42" s="245"/>
      <c r="GC42" s="245"/>
      <c r="GD42" s="245"/>
    </row>
    <row r="43" spans="1:186" ht="15.75" x14ac:dyDescent="0.25">
      <c r="AS43" s="250" t="s">
        <v>577</v>
      </c>
      <c r="AT43" s="262" t="e">
        <f ca="1">SUM(BB7:BB40)</f>
        <v>#N/A</v>
      </c>
      <c r="AU43" s="245"/>
      <c r="AV43" s="245"/>
      <c r="AW43" s="245"/>
      <c r="AX43" s="245"/>
      <c r="AY43" s="245"/>
      <c r="AZ43" s="245"/>
      <c r="BA43" s="245"/>
      <c r="BB43" s="245"/>
      <c r="BD43" s="250" t="s">
        <v>577</v>
      </c>
      <c r="BE43" s="262" t="e">
        <f ca="1">SUM(BM7:BM40)</f>
        <v>#N/A</v>
      </c>
      <c r="BF43" s="245"/>
      <c r="BG43" s="245"/>
      <c r="BH43" s="245"/>
      <c r="BI43" s="245"/>
      <c r="BJ43" s="245"/>
      <c r="BK43" s="245"/>
      <c r="BL43" s="245"/>
      <c r="BM43" s="245"/>
      <c r="BO43" s="250" t="s">
        <v>577</v>
      </c>
      <c r="BP43" s="262" t="e">
        <f ca="1">SUM(BX7:BX40)</f>
        <v>#N/A</v>
      </c>
      <c r="BQ43" s="245"/>
      <c r="BR43" s="245"/>
      <c r="BS43" s="245"/>
      <c r="BT43" s="245"/>
      <c r="BU43" s="245"/>
      <c r="BV43" s="245"/>
      <c r="BW43" s="245"/>
      <c r="BX43" s="245"/>
      <c r="BZ43" s="250" t="s">
        <v>577</v>
      </c>
      <c r="CA43" s="262" t="e">
        <f ca="1">SUM(CI7:CI40)</f>
        <v>#N/A</v>
      </c>
      <c r="CB43" s="245"/>
      <c r="CC43" s="245"/>
      <c r="CD43" s="245"/>
      <c r="CE43" s="245"/>
      <c r="CF43" s="245"/>
      <c r="CG43" s="245"/>
      <c r="CH43" s="245"/>
      <c r="CI43" s="245"/>
      <c r="CK43" s="250" t="s">
        <v>577</v>
      </c>
      <c r="CL43" s="262" t="e">
        <f ca="1">SUM(CT7:CT38)</f>
        <v>#N/A</v>
      </c>
      <c r="CM43" s="245"/>
      <c r="CN43" s="245"/>
      <c r="CO43" s="245"/>
      <c r="CP43" s="245"/>
      <c r="CQ43" s="245"/>
      <c r="CR43" s="245"/>
      <c r="CS43" s="245"/>
      <c r="CT43" s="245"/>
      <c r="CV43" s="250"/>
      <c r="CW43" s="261"/>
      <c r="CX43" s="245"/>
      <c r="CY43" s="245"/>
      <c r="CZ43" s="245"/>
      <c r="DA43" s="245"/>
      <c r="DB43" s="245"/>
      <c r="DC43" s="245"/>
      <c r="DD43" s="245"/>
      <c r="DE43" s="245"/>
      <c r="DG43" s="250"/>
      <c r="DH43" s="261"/>
      <c r="DI43" s="245"/>
      <c r="DJ43" s="245"/>
      <c r="DK43" s="245"/>
      <c r="DL43" s="245"/>
      <c r="DM43" s="245"/>
      <c r="DN43" s="245"/>
      <c r="DO43" s="245"/>
      <c r="DP43" s="245"/>
      <c r="DR43" s="250"/>
      <c r="DS43" s="261"/>
      <c r="DT43" s="245"/>
      <c r="DU43" s="245"/>
      <c r="DV43" s="245"/>
      <c r="DW43" s="245"/>
      <c r="DX43" s="245"/>
      <c r="DY43" s="245"/>
      <c r="DZ43" s="245"/>
      <c r="EA43" s="245"/>
      <c r="EC43" s="250"/>
      <c r="ED43" s="261"/>
      <c r="EE43" s="245"/>
      <c r="EF43" s="245"/>
      <c r="EG43" s="245"/>
      <c r="EH43" s="245"/>
      <c r="EI43" s="245"/>
      <c r="EJ43" s="245"/>
      <c r="EK43" s="245"/>
      <c r="EL43" s="245"/>
      <c r="EN43" s="250"/>
      <c r="EO43" s="261"/>
      <c r="EP43" s="245"/>
      <c r="EQ43" s="245"/>
      <c r="ER43" s="245"/>
      <c r="ES43" s="245"/>
      <c r="ET43" s="245"/>
      <c r="EU43" s="245"/>
      <c r="EV43" s="245"/>
      <c r="EW43" s="245"/>
      <c r="EY43" s="250"/>
      <c r="EZ43" s="261"/>
      <c r="FA43" s="245"/>
      <c r="FB43" s="245"/>
      <c r="FC43" s="245"/>
      <c r="FD43" s="245"/>
      <c r="FE43" s="245"/>
      <c r="FF43" s="245"/>
      <c r="FG43" s="245"/>
      <c r="FH43" s="245"/>
      <c r="FJ43" s="250"/>
      <c r="FK43" s="261"/>
      <c r="FL43" s="245"/>
      <c r="FM43" s="245"/>
      <c r="FN43" s="245"/>
      <c r="FO43" s="245"/>
      <c r="FP43" s="245"/>
      <c r="FQ43" s="245"/>
      <c r="FR43" s="245"/>
      <c r="FS43" s="245"/>
      <c r="FU43" s="250"/>
      <c r="FV43" s="261"/>
      <c r="FW43" s="245"/>
      <c r="FX43" s="245"/>
      <c r="FY43" s="245"/>
      <c r="FZ43" s="245"/>
      <c r="GA43" s="245"/>
      <c r="GB43" s="245"/>
      <c r="GC43" s="245"/>
      <c r="GD43" s="245"/>
    </row>
    <row r="44" spans="1:186" ht="15.75" x14ac:dyDescent="0.25">
      <c r="AU44" s="245"/>
      <c r="AV44" s="245"/>
      <c r="AW44" s="245"/>
      <c r="AX44" s="245"/>
      <c r="AY44" s="245"/>
      <c r="AZ44" s="245"/>
      <c r="BA44" s="245"/>
      <c r="BB44" s="245"/>
      <c r="BF44" s="245"/>
      <c r="BG44" s="245"/>
      <c r="BH44" s="245"/>
      <c r="BI44" s="245"/>
      <c r="BJ44" s="245"/>
      <c r="BK44" s="245"/>
      <c r="BL44" s="245"/>
      <c r="BM44" s="245"/>
      <c r="CV44" s="250"/>
      <c r="CW44" s="245"/>
      <c r="CX44" s="245"/>
      <c r="CY44" s="245"/>
      <c r="CZ44" s="245"/>
      <c r="DA44" s="245"/>
      <c r="DB44" s="245"/>
      <c r="DC44" s="245"/>
      <c r="DD44" s="245"/>
      <c r="DE44" s="245"/>
      <c r="DG44" s="250"/>
      <c r="DH44" s="245"/>
      <c r="DI44" s="245"/>
      <c r="DJ44" s="245"/>
      <c r="DK44" s="245"/>
      <c r="DL44" s="245"/>
      <c r="DM44" s="245"/>
      <c r="DN44" s="245"/>
      <c r="DO44" s="245"/>
      <c r="DP44" s="245"/>
      <c r="DR44" s="250"/>
      <c r="DS44" s="245"/>
      <c r="DT44" s="245"/>
      <c r="DU44" s="245"/>
      <c r="DV44" s="245"/>
      <c r="DW44" s="245"/>
      <c r="DX44" s="245"/>
      <c r="DY44" s="245"/>
      <c r="DZ44" s="245"/>
      <c r="EA44" s="245"/>
      <c r="EC44" s="250"/>
      <c r="ED44" s="245"/>
      <c r="EE44" s="245"/>
      <c r="EF44" s="245"/>
      <c r="EG44" s="245"/>
      <c r="EH44" s="245"/>
      <c r="EI44" s="245"/>
      <c r="EJ44" s="245"/>
      <c r="EK44" s="245"/>
      <c r="EL44" s="245"/>
      <c r="EN44" s="250"/>
      <c r="EO44" s="245"/>
      <c r="EP44" s="245"/>
      <c r="EQ44" s="245"/>
      <c r="ER44" s="245"/>
      <c r="ES44" s="245"/>
      <c r="ET44" s="245"/>
      <c r="EU44" s="245"/>
      <c r="EV44" s="245"/>
      <c r="EW44" s="245"/>
      <c r="EY44" s="250"/>
      <c r="EZ44" s="245"/>
      <c r="FA44" s="245"/>
      <c r="FB44" s="245"/>
      <c r="FC44" s="245"/>
      <c r="FD44" s="245"/>
      <c r="FE44" s="245"/>
      <c r="FF44" s="245"/>
      <c r="FG44" s="245"/>
      <c r="FH44" s="245"/>
      <c r="FJ44" s="250"/>
      <c r="FK44" s="245"/>
      <c r="FL44" s="245"/>
      <c r="FM44" s="245"/>
      <c r="FN44" s="245"/>
      <c r="FO44" s="245"/>
      <c r="FP44" s="245"/>
      <c r="FQ44" s="245"/>
      <c r="FR44" s="245"/>
      <c r="FS44" s="245"/>
      <c r="FU44" s="250"/>
      <c r="FV44" s="245"/>
      <c r="FW44" s="245"/>
      <c r="FX44" s="245"/>
      <c r="FY44" s="245"/>
      <c r="FZ44" s="245"/>
      <c r="GA44" s="245"/>
      <c r="GB44" s="245"/>
      <c r="GC44" s="245"/>
      <c r="GD44" s="245"/>
    </row>
    <row r="45" spans="1:186" ht="15.75" x14ac:dyDescent="0.25">
      <c r="A45" s="600" t="s">
        <v>979</v>
      </c>
      <c r="B45" s="600"/>
      <c r="AU45" s="245"/>
      <c r="AV45" s="245"/>
      <c r="AW45" s="245"/>
      <c r="AX45" s="245"/>
      <c r="AY45" s="245"/>
      <c r="AZ45" s="245"/>
      <c r="BA45" s="245"/>
      <c r="BB45" s="245"/>
      <c r="BF45" s="245"/>
      <c r="BG45" s="245"/>
      <c r="BH45" s="245"/>
      <c r="BI45" s="245"/>
      <c r="BJ45" s="245"/>
      <c r="BK45" s="245"/>
      <c r="BL45" s="245"/>
      <c r="BM45" s="245"/>
      <c r="CV45" s="250" t="s">
        <v>104</v>
      </c>
      <c r="CW45" s="245"/>
      <c r="CX45" s="245"/>
      <c r="CY45" s="245"/>
      <c r="CZ45" s="245"/>
      <c r="DA45" s="245"/>
      <c r="DB45" s="245"/>
      <c r="DC45" s="245"/>
      <c r="DD45" s="245"/>
      <c r="DE45" s="245"/>
      <c r="DG45" s="250" t="s">
        <v>104</v>
      </c>
      <c r="DH45" s="245"/>
      <c r="DI45" s="245"/>
      <c r="DJ45" s="245"/>
      <c r="DK45" s="245"/>
      <c r="DL45" s="245"/>
      <c r="DM45" s="245"/>
      <c r="DN45" s="245"/>
      <c r="DO45" s="245"/>
      <c r="DP45" s="245"/>
      <c r="DR45" s="250" t="s">
        <v>104</v>
      </c>
      <c r="DS45" s="245"/>
      <c r="DT45" s="245"/>
      <c r="DU45" s="245"/>
      <c r="DV45" s="245"/>
      <c r="DW45" s="245"/>
      <c r="DX45" s="245"/>
      <c r="DY45" s="245"/>
      <c r="DZ45" s="245"/>
      <c r="EA45" s="245"/>
      <c r="EC45" s="250" t="s">
        <v>104</v>
      </c>
      <c r="ED45" s="245"/>
      <c r="EE45" s="245"/>
      <c r="EF45" s="245"/>
      <c r="EG45" s="245"/>
      <c r="EH45" s="245"/>
      <c r="EI45" s="245"/>
      <c r="EJ45" s="245"/>
      <c r="EK45" s="245"/>
      <c r="EL45" s="245"/>
      <c r="EN45" s="250" t="s">
        <v>104</v>
      </c>
      <c r="EO45" s="245"/>
      <c r="EP45" s="245"/>
      <c r="EQ45" s="245"/>
      <c r="ER45" s="245"/>
      <c r="ES45" s="245"/>
      <c r="ET45" s="245"/>
      <c r="EU45" s="245"/>
      <c r="EV45" s="245"/>
      <c r="EW45" s="245"/>
      <c r="EY45" s="250" t="s">
        <v>104</v>
      </c>
      <c r="EZ45" s="245"/>
      <c r="FA45" s="245"/>
      <c r="FB45" s="245"/>
      <c r="FC45" s="245"/>
      <c r="FD45" s="245"/>
      <c r="FE45" s="245"/>
      <c r="FF45" s="245"/>
      <c r="FG45" s="245"/>
      <c r="FH45" s="245"/>
      <c r="FJ45" s="250" t="s">
        <v>104</v>
      </c>
      <c r="FK45" s="245"/>
      <c r="FL45" s="245"/>
      <c r="FM45" s="245"/>
      <c r="FN45" s="245"/>
      <c r="FO45" s="245"/>
      <c r="FP45" s="245"/>
      <c r="FQ45" s="245"/>
      <c r="FR45" s="245"/>
      <c r="FS45" s="245"/>
      <c r="FU45" s="250" t="s">
        <v>104</v>
      </c>
      <c r="FV45" s="245"/>
      <c r="FW45" s="245"/>
      <c r="FX45" s="245"/>
      <c r="FY45" s="245"/>
      <c r="FZ45" s="245"/>
      <c r="GA45" s="245"/>
      <c r="GB45" s="245"/>
      <c r="GC45" s="245"/>
      <c r="GD45" s="245"/>
    </row>
    <row r="46" spans="1:186" ht="15.75" x14ac:dyDescent="0.25">
      <c r="A46" s="600" t="s">
        <v>827</v>
      </c>
      <c r="B46" s="600"/>
      <c r="CV46" s="250" t="s">
        <v>577</v>
      </c>
      <c r="CW46" s="256" t="e">
        <f ca="1">SUM(DE6:DE41)</f>
        <v>#N/A</v>
      </c>
      <c r="CX46" s="245"/>
      <c r="CY46" s="245"/>
      <c r="CZ46" s="245"/>
      <c r="DA46" s="245"/>
      <c r="DB46" s="245"/>
      <c r="DC46" s="245"/>
      <c r="DD46" s="245"/>
      <c r="DE46" s="245"/>
      <c r="DG46" s="250" t="s">
        <v>577</v>
      </c>
      <c r="DH46" s="351" t="e">
        <f ca="1">SUM(DP6:DP41)</f>
        <v>#N/A</v>
      </c>
      <c r="DI46" s="245"/>
      <c r="DJ46" s="245"/>
      <c r="DK46" s="245"/>
      <c r="DL46" s="245"/>
      <c r="DM46" s="245"/>
      <c r="DN46" s="245"/>
      <c r="DO46" s="245"/>
      <c r="DP46" s="245"/>
      <c r="DR46" s="250" t="s">
        <v>577</v>
      </c>
      <c r="DS46" s="351" t="e">
        <f ca="1">SUM(EA6:EA41)</f>
        <v>#N/A</v>
      </c>
      <c r="DT46" s="245"/>
      <c r="DU46" s="245"/>
      <c r="DV46" s="245"/>
      <c r="DW46" s="245"/>
      <c r="DX46" s="245"/>
      <c r="DY46" s="245"/>
      <c r="DZ46" s="245"/>
      <c r="EA46" s="245"/>
      <c r="EC46" s="250" t="s">
        <v>577</v>
      </c>
      <c r="ED46" s="351" t="e">
        <f ca="1">SUM(EL6:EL41)</f>
        <v>#N/A</v>
      </c>
      <c r="EE46" s="245"/>
      <c r="EF46" s="245"/>
      <c r="EG46" s="245"/>
      <c r="EH46" s="245"/>
      <c r="EI46" s="245"/>
      <c r="EJ46" s="245"/>
      <c r="EK46" s="245"/>
      <c r="EL46" s="245"/>
      <c r="EN46" s="250" t="s">
        <v>577</v>
      </c>
      <c r="EO46" s="351" t="e">
        <f ca="1">SUM(EW6:EW41)</f>
        <v>#N/A</v>
      </c>
      <c r="EP46" s="245"/>
      <c r="EQ46" s="245"/>
      <c r="ER46" s="245"/>
      <c r="ES46" s="245"/>
      <c r="ET46" s="245"/>
      <c r="EU46" s="245"/>
      <c r="EV46" s="245"/>
      <c r="EW46" s="245"/>
      <c r="EY46" s="250" t="s">
        <v>577</v>
      </c>
      <c r="EZ46" s="351" t="e">
        <f ca="1">SUM(FH6:FH41)</f>
        <v>#N/A</v>
      </c>
      <c r="FA46" s="245"/>
      <c r="FB46" s="245"/>
      <c r="FC46" s="245"/>
      <c r="FD46" s="245"/>
      <c r="FE46" s="245"/>
      <c r="FF46" s="245"/>
      <c r="FG46" s="245"/>
      <c r="FH46" s="245"/>
      <c r="FJ46" s="250" t="s">
        <v>577</v>
      </c>
      <c r="FK46" s="351" t="e">
        <f ca="1">SUM(FS6:FS41)</f>
        <v>#N/A</v>
      </c>
      <c r="FL46" s="245"/>
      <c r="FM46" s="245"/>
      <c r="FN46" s="245"/>
      <c r="FO46" s="245"/>
      <c r="FP46" s="245"/>
      <c r="FQ46" s="245"/>
      <c r="FR46" s="245"/>
      <c r="FS46" s="245"/>
      <c r="FU46" s="250" t="s">
        <v>577</v>
      </c>
      <c r="FV46" s="351" t="e">
        <f ca="1">SUM(GD6:GD41)</f>
        <v>#N/A</v>
      </c>
      <c r="FW46" s="245"/>
      <c r="FX46" s="245"/>
      <c r="FY46" s="245"/>
      <c r="FZ46" s="245"/>
      <c r="GA46" s="245"/>
      <c r="GB46" s="245"/>
      <c r="GC46" s="245"/>
      <c r="GD46" s="245"/>
    </row>
    <row r="47" spans="1:186" x14ac:dyDescent="0.25">
      <c r="A47" s="600" t="s">
        <v>447</v>
      </c>
      <c r="B47" s="600">
        <f ca="1">INDIRECT("'" &amp; A$46 &amp; "'!" &amp; A47)</f>
        <v>0</v>
      </c>
    </row>
    <row r="48" spans="1:186" x14ac:dyDescent="0.25">
      <c r="A48" s="600" t="s">
        <v>224</v>
      </c>
      <c r="B48" s="600" t="e">
        <f t="shared" ref="B48:B56" ca="1" si="10">INDIRECT("'" &amp; A$46 &amp; "'!" &amp; A48)</f>
        <v>#N/A</v>
      </c>
    </row>
    <row r="49" spans="1:2" x14ac:dyDescent="0.25">
      <c r="A49" s="600" t="s">
        <v>980</v>
      </c>
      <c r="B49" s="600">
        <f t="shared" ca="1" si="10"/>
        <v>16</v>
      </c>
    </row>
    <row r="50" spans="1:2" x14ac:dyDescent="0.25">
      <c r="A50" s="600" t="s">
        <v>982</v>
      </c>
      <c r="B50" s="600">
        <f t="shared" ca="1" si="10"/>
        <v>0.3</v>
      </c>
    </row>
    <row r="51" spans="1:2" x14ac:dyDescent="0.25">
      <c r="A51" s="600" t="s">
        <v>984</v>
      </c>
      <c r="B51" s="600">
        <f t="shared" ca="1" si="10"/>
        <v>24</v>
      </c>
    </row>
    <row r="52" spans="1:2" x14ac:dyDescent="0.25">
      <c r="A52" s="600" t="s">
        <v>983</v>
      </c>
      <c r="B52" s="600">
        <f t="shared" ca="1" si="10"/>
        <v>0.28299999999999997</v>
      </c>
    </row>
    <row r="53" spans="1:2" x14ac:dyDescent="0.25">
      <c r="A53" s="600" t="s">
        <v>981</v>
      </c>
      <c r="B53" s="600">
        <f t="shared" ca="1" si="10"/>
        <v>339.29200658769764</v>
      </c>
    </row>
    <row r="54" spans="1:2" x14ac:dyDescent="0.25">
      <c r="A54" s="600" t="s">
        <v>986</v>
      </c>
      <c r="B54" s="600">
        <f t="shared" ca="1" si="10"/>
        <v>5</v>
      </c>
    </row>
    <row r="55" spans="1:2" x14ac:dyDescent="0.25">
      <c r="A55" s="600" t="s">
        <v>987</v>
      </c>
      <c r="B55" s="600">
        <f t="shared" ca="1" si="10"/>
        <v>2</v>
      </c>
    </row>
    <row r="56" spans="1:2" x14ac:dyDescent="0.25">
      <c r="A56" s="600" t="s">
        <v>942</v>
      </c>
      <c r="B56" s="600" t="str">
        <f t="shared" ca="1" si="10"/>
        <v>Y</v>
      </c>
    </row>
  </sheetData>
  <sheetProtection selectLockedCells="1" selectUnlockedCells="1"/>
  <mergeCells count="8">
    <mergeCell ref="FK39:FM39"/>
    <mergeCell ref="FV39:FX39"/>
    <mergeCell ref="CW37:CY37"/>
    <mergeCell ref="DH37:DJ37"/>
    <mergeCell ref="DS37:DU37"/>
    <mergeCell ref="ED39:EF39"/>
    <mergeCell ref="EO39:EQ39"/>
    <mergeCell ref="EZ39:FB39"/>
  </mergeCell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20AF0-0853-43C2-AD4A-F745E7FE06C1}">
  <sheetPr codeName="Sheet40">
    <tabColor rgb="FFFF0000"/>
  </sheetPr>
  <dimension ref="A1:S69"/>
  <sheetViews>
    <sheetView topLeftCell="A12" workbookViewId="0">
      <selection activeCell="D31" sqref="D31:F69"/>
    </sheetView>
  </sheetViews>
  <sheetFormatPr defaultRowHeight="15" x14ac:dyDescent="0.25"/>
  <sheetData>
    <row r="1" spans="1:19" x14ac:dyDescent="0.25">
      <c r="D1" t="s">
        <v>1009</v>
      </c>
      <c r="N1" t="s">
        <v>1010</v>
      </c>
    </row>
    <row r="2" spans="1:19" ht="15.75" thickBot="1" x14ac:dyDescent="0.3"/>
    <row r="3" spans="1:19" ht="15.75" thickBot="1" x14ac:dyDescent="0.3">
      <c r="A3" s="352" t="s">
        <v>123</v>
      </c>
      <c r="B3" s="353" t="e">
        <f ca="1">((vel/ACCEL)*vel)*12</f>
        <v>#N/A</v>
      </c>
      <c r="C3" s="354">
        <f ca="1">MINLN</f>
        <v>4</v>
      </c>
      <c r="D3" s="354">
        <f t="shared" ref="D3:I3" ca="1" si="0">C3+INCR</f>
        <v>8</v>
      </c>
      <c r="E3" s="354">
        <f t="shared" ca="1" si="0"/>
        <v>12</v>
      </c>
      <c r="F3" s="354">
        <f t="shared" ca="1" si="0"/>
        <v>16</v>
      </c>
      <c r="G3" s="354">
        <f t="shared" ca="1" si="0"/>
        <v>20</v>
      </c>
      <c r="H3" s="354">
        <f t="shared" ca="1" si="0"/>
        <v>24</v>
      </c>
      <c r="I3" s="354">
        <f t="shared" ca="1" si="0"/>
        <v>28</v>
      </c>
      <c r="K3" s="352" t="s">
        <v>123</v>
      </c>
      <c r="L3" s="354" t="e">
        <f ca="1">((vel/ACCEL)*vel)*12</f>
        <v>#N/A</v>
      </c>
      <c r="M3" s="354">
        <f ca="1">MINLN</f>
        <v>4</v>
      </c>
      <c r="N3" s="354">
        <f t="shared" ref="N3:S3" ca="1" si="1">M3+INCR</f>
        <v>8</v>
      </c>
      <c r="O3" s="354">
        <f t="shared" ca="1" si="1"/>
        <v>12</v>
      </c>
      <c r="P3" s="354">
        <f t="shared" ca="1" si="1"/>
        <v>16</v>
      </c>
      <c r="Q3" s="354">
        <f t="shared" ca="1" si="1"/>
        <v>20</v>
      </c>
      <c r="R3" s="354">
        <f t="shared" ca="1" si="1"/>
        <v>24</v>
      </c>
      <c r="S3" s="354">
        <f t="shared" ca="1" si="1"/>
        <v>28</v>
      </c>
    </row>
    <row r="4" spans="1:19" ht="15.75" thickBot="1" x14ac:dyDescent="0.3">
      <c r="A4" s="352" t="s">
        <v>630</v>
      </c>
      <c r="B4" s="573" t="e">
        <f ca="1">SQRT(((PEAKTQ^2*B7)+((ACCTQ-STR_TO-FRICTQ-LOOPTQ)^2*B7)+((FRICTQ +STR_TO+LOOPTQ)^2*B5)+((SETTQ+LOOPTQ)^2*SETTM)+(LOOPTQ^2*B6))/B9)</f>
        <v>#N/A</v>
      </c>
      <c r="C4" s="574" t="e">
        <f t="shared" ref="C4:I4" ca="1" si="2">SQRT((((PEAKTQ^2)*C7)+(((ACCTQ-STR_TO-FRICTQ-LOOPTQ)^2)*C7)+(((FRICTQ+LOOPTQ+STR_TO)^2)*C5)+(((SETTQ+LOOPTQ)^2)*SETTM)+((LOOPTQ^2)*C6))/C9)</f>
        <v>#N/A</v>
      </c>
      <c r="D4" s="574" t="e">
        <f t="shared" ca="1" si="2"/>
        <v>#N/A</v>
      </c>
      <c r="E4" s="574" t="e">
        <f t="shared" ca="1" si="2"/>
        <v>#N/A</v>
      </c>
      <c r="F4" s="574" t="e">
        <f t="shared" ca="1" si="2"/>
        <v>#N/A</v>
      </c>
      <c r="G4" s="574" t="e">
        <f t="shared" ca="1" si="2"/>
        <v>#N/A</v>
      </c>
      <c r="H4" s="574" t="e">
        <f t="shared" ca="1" si="2"/>
        <v>#N/A</v>
      </c>
      <c r="I4" s="575" t="e">
        <f t="shared" ca="1" si="2"/>
        <v>#N/A</v>
      </c>
      <c r="K4" s="352" t="s">
        <v>630</v>
      </c>
      <c r="L4" s="573" t="e">
        <f ca="1">SQRT(((PEAKTQ^2*L7)+((ACCTQ-STR_TO-FRICTQ-LOOPTQ)^2*L7)+((FRICTQ +STR_TO+LOOPTQ)^2*L5)+((SETTQ+LOOPTQ)^2*SETTM)+(LOOPTQ^2*L6))/L9)</f>
        <v>#N/A</v>
      </c>
      <c r="M4" s="574" t="e">
        <f t="shared" ref="M4:S4" ca="1" si="3">SQRT((((PEAKTQ^2)*M7)+(((ACCTQ-STR_TO-FRICTQ-LOOPTQ)^2)*M7)+(((FRICTQ+LOOPTQ+STR_TO)^2)*M5)+(((SETTQ+LOOPTQ)^2)*SETTM)+((LOOPTQ^2)*M6))/M9)</f>
        <v>#N/A</v>
      </c>
      <c r="N4" s="574" t="e">
        <f t="shared" ca="1" si="3"/>
        <v>#N/A</v>
      </c>
      <c r="O4" s="574" t="e">
        <f t="shared" ca="1" si="3"/>
        <v>#N/A</v>
      </c>
      <c r="P4" s="574" t="e">
        <f t="shared" ca="1" si="3"/>
        <v>#N/A</v>
      </c>
      <c r="Q4" s="574" t="e">
        <f t="shared" ca="1" si="3"/>
        <v>#N/A</v>
      </c>
      <c r="R4" s="574" t="e">
        <f t="shared" ca="1" si="3"/>
        <v>#N/A</v>
      </c>
      <c r="S4" s="575" t="e">
        <f t="shared" ca="1" si="3"/>
        <v>#N/A</v>
      </c>
    </row>
    <row r="5" spans="1:19" ht="15.75" thickBot="1" x14ac:dyDescent="0.3">
      <c r="A5" s="352" t="s">
        <v>631</v>
      </c>
      <c r="B5" s="579" t="e">
        <f ca="1">IF(((ALLACC-((MPEAK*ACCTM)*12))/12)/MPEAK&gt;0,((ALLACC-((MPEAK*ACCTM)*12))/12)/MPEAK,0)</f>
        <v>#N/A</v>
      </c>
      <c r="C5" s="55" t="e">
        <f t="shared" ref="C5:I5" ca="1" si="4">IF(C3&gt;ALLACC,((C3-ALLACC)/12)/vel,0)</f>
        <v>#N/A</v>
      </c>
      <c r="D5" s="55" t="e">
        <f t="shared" ca="1" si="4"/>
        <v>#N/A</v>
      </c>
      <c r="E5" s="55" t="e">
        <f t="shared" ca="1" si="4"/>
        <v>#N/A</v>
      </c>
      <c r="F5" s="55" t="e">
        <f t="shared" ca="1" si="4"/>
        <v>#N/A</v>
      </c>
      <c r="G5" s="55" t="e">
        <f t="shared" ca="1" si="4"/>
        <v>#N/A</v>
      </c>
      <c r="H5" s="55" t="e">
        <f t="shared" ca="1" si="4"/>
        <v>#N/A</v>
      </c>
      <c r="I5" s="206" t="e">
        <f t="shared" ca="1" si="4"/>
        <v>#N/A</v>
      </c>
      <c r="K5" s="352" t="s">
        <v>631</v>
      </c>
      <c r="L5" s="579" t="e">
        <f ca="1">IF(((ALLACC_2-((MPEAK*ACCTM_2)*12))/12)/MPEAK&gt;0,((ALLACC_2-((MPEAK*ACCTM_2)*12))/12)/MPEAK,0)</f>
        <v>#N/A</v>
      </c>
      <c r="M5" s="55" t="e">
        <f t="shared" ref="M5:S5" ca="1" si="5">IF(M3&gt;ALLACC_2,((M3-ALLACC_2)/12)/vel,0)</f>
        <v>#N/A</v>
      </c>
      <c r="N5" s="55" t="e">
        <f t="shared" ca="1" si="5"/>
        <v>#N/A</v>
      </c>
      <c r="O5" s="55" t="e">
        <f t="shared" ca="1" si="5"/>
        <v>#N/A</v>
      </c>
      <c r="P5" s="55" t="e">
        <f t="shared" ca="1" si="5"/>
        <v>#N/A</v>
      </c>
      <c r="Q5" s="55" t="e">
        <f t="shared" ca="1" si="5"/>
        <v>#N/A</v>
      </c>
      <c r="R5" s="55" t="e">
        <f t="shared" ca="1" si="5"/>
        <v>#N/A</v>
      </c>
      <c r="S5" s="206" t="e">
        <f t="shared" ca="1" si="5"/>
        <v>#N/A</v>
      </c>
    </row>
    <row r="6" spans="1:19" ht="15.75" thickBot="1" x14ac:dyDescent="0.3">
      <c r="A6" s="352" t="s">
        <v>632</v>
      </c>
      <c r="B6" s="579" t="e">
        <f ca="1">CYCTM-MOVTM</f>
        <v>#N/A</v>
      </c>
      <c r="C6" s="55" t="e">
        <f t="shared" ref="C6:I6" ca="1" si="6">C9-C8</f>
        <v>#N/A</v>
      </c>
      <c r="D6" s="55" t="e">
        <f t="shared" ca="1" si="6"/>
        <v>#N/A</v>
      </c>
      <c r="E6" s="55" t="e">
        <f t="shared" ca="1" si="6"/>
        <v>#N/A</v>
      </c>
      <c r="F6" s="55" t="e">
        <f t="shared" ca="1" si="6"/>
        <v>#N/A</v>
      </c>
      <c r="G6" s="55" t="e">
        <f t="shared" ca="1" si="6"/>
        <v>#N/A</v>
      </c>
      <c r="H6" s="55" t="e">
        <f t="shared" ca="1" si="6"/>
        <v>#N/A</v>
      </c>
      <c r="I6" s="206" t="e">
        <f t="shared" ca="1" si="6"/>
        <v>#N/A</v>
      </c>
      <c r="K6" s="352" t="s">
        <v>632</v>
      </c>
      <c r="L6" s="579" t="e">
        <f ca="1">CYCTM_2-MOVTM_2</f>
        <v>#N/A</v>
      </c>
      <c r="M6" s="55" t="e">
        <f t="shared" ref="M6:S6" ca="1" si="7">M9-M8</f>
        <v>#N/A</v>
      </c>
      <c r="N6" s="55" t="e">
        <f t="shared" ca="1" si="7"/>
        <v>#N/A</v>
      </c>
      <c r="O6" s="55" t="e">
        <f t="shared" ca="1" si="7"/>
        <v>#N/A</v>
      </c>
      <c r="P6" s="55" t="e">
        <f t="shared" ca="1" si="7"/>
        <v>#N/A</v>
      </c>
      <c r="Q6" s="55" t="e">
        <f t="shared" ca="1" si="7"/>
        <v>#N/A</v>
      </c>
      <c r="R6" s="55" t="e">
        <f t="shared" ca="1" si="7"/>
        <v>#N/A</v>
      </c>
      <c r="S6" s="206" t="e">
        <f t="shared" ca="1" si="7"/>
        <v>#N/A</v>
      </c>
    </row>
    <row r="7" spans="1:19" ht="15.75" thickBot="1" x14ac:dyDescent="0.3">
      <c r="A7" s="352" t="s">
        <v>85</v>
      </c>
      <c r="B7" s="579" t="e">
        <f ca="1">vel/ACCEL</f>
        <v>#N/A</v>
      </c>
      <c r="C7" s="55" t="e">
        <f t="shared" ref="C7:I7" ca="1" si="8">IF(C3&gt;ALLACC,ACCTM,SQRT((C3/12)/ACCEL))</f>
        <v>#N/A</v>
      </c>
      <c r="D7" s="55" t="e">
        <f t="shared" ca="1" si="8"/>
        <v>#N/A</v>
      </c>
      <c r="E7" s="55" t="e">
        <f t="shared" ca="1" si="8"/>
        <v>#N/A</v>
      </c>
      <c r="F7" s="55" t="e">
        <f t="shared" ca="1" si="8"/>
        <v>#N/A</v>
      </c>
      <c r="G7" s="55" t="e">
        <f t="shared" ca="1" si="8"/>
        <v>#N/A</v>
      </c>
      <c r="H7" s="55" t="e">
        <f t="shared" ca="1" si="8"/>
        <v>#N/A</v>
      </c>
      <c r="I7" s="206" t="e">
        <f t="shared" ca="1" si="8"/>
        <v>#N/A</v>
      </c>
      <c r="K7" s="352" t="s">
        <v>85</v>
      </c>
      <c r="L7" s="579" t="e">
        <f ca="1">vel/ACCEL</f>
        <v>#N/A</v>
      </c>
      <c r="M7" s="55" t="e">
        <f t="shared" ref="M7:S7" ca="1" si="9">IF(M3&gt;ALLACC,ACCTM,SQRT((M3/12)/ACCEL))</f>
        <v>#N/A</v>
      </c>
      <c r="N7" s="55" t="e">
        <f t="shared" ca="1" si="9"/>
        <v>#N/A</v>
      </c>
      <c r="O7" s="55" t="e">
        <f t="shared" ca="1" si="9"/>
        <v>#N/A</v>
      </c>
      <c r="P7" s="55" t="e">
        <f t="shared" ca="1" si="9"/>
        <v>#N/A</v>
      </c>
      <c r="Q7" s="55" t="e">
        <f t="shared" ca="1" si="9"/>
        <v>#N/A</v>
      </c>
      <c r="R7" s="55" t="e">
        <f t="shared" ca="1" si="9"/>
        <v>#N/A</v>
      </c>
      <c r="S7" s="206" t="e">
        <f t="shared" ca="1" si="9"/>
        <v>#N/A</v>
      </c>
    </row>
    <row r="8" spans="1:19" ht="15.75" thickBot="1" x14ac:dyDescent="0.3">
      <c r="A8" s="352" t="s">
        <v>633</v>
      </c>
      <c r="B8" s="579" t="e">
        <f ca="1">((ACCTM*2)+B5+SETTM)</f>
        <v>#N/A</v>
      </c>
      <c r="C8" s="55" t="e">
        <f t="shared" ref="C8:I8" ca="1" si="10">(C7*2)+C5+SETTM</f>
        <v>#N/A</v>
      </c>
      <c r="D8" s="55" t="e">
        <f t="shared" ca="1" si="10"/>
        <v>#N/A</v>
      </c>
      <c r="E8" s="55" t="e">
        <f t="shared" ca="1" si="10"/>
        <v>#N/A</v>
      </c>
      <c r="F8" s="55" t="e">
        <f t="shared" ca="1" si="10"/>
        <v>#N/A</v>
      </c>
      <c r="G8" s="55" t="e">
        <f t="shared" ca="1" si="10"/>
        <v>#N/A</v>
      </c>
      <c r="H8" s="55" t="e">
        <f t="shared" ca="1" si="10"/>
        <v>#N/A</v>
      </c>
      <c r="I8" s="206" t="e">
        <f t="shared" ca="1" si="10"/>
        <v>#N/A</v>
      </c>
      <c r="K8" s="352" t="s">
        <v>633</v>
      </c>
      <c r="L8" s="579" t="e">
        <f ca="1">((ACCTM_2*2)+L5+SETTM)</f>
        <v>#N/A</v>
      </c>
      <c r="M8" s="55" t="e">
        <f t="shared" ref="M8:S8" ca="1" si="11">(M7*2)+M5+SETTM</f>
        <v>#N/A</v>
      </c>
      <c r="N8" s="55" t="e">
        <f t="shared" ca="1" si="11"/>
        <v>#N/A</v>
      </c>
      <c r="O8" s="55" t="e">
        <f t="shared" ca="1" si="11"/>
        <v>#N/A</v>
      </c>
      <c r="P8" s="55" t="e">
        <f t="shared" ca="1" si="11"/>
        <v>#N/A</v>
      </c>
      <c r="Q8" s="55" t="e">
        <f t="shared" ca="1" si="11"/>
        <v>#N/A</v>
      </c>
      <c r="R8" s="55" t="e">
        <f t="shared" ca="1" si="11"/>
        <v>#N/A</v>
      </c>
      <c r="S8" s="206" t="e">
        <f t="shared" ca="1" si="11"/>
        <v>#N/A</v>
      </c>
    </row>
    <row r="9" spans="1:19" ht="15.75" thickBot="1" x14ac:dyDescent="0.3">
      <c r="A9" s="352" t="s">
        <v>634</v>
      </c>
      <c r="B9" s="579" t="e">
        <f ca="1">IF(application="Press Feed",MOVTM*(360/FA),MOVTM+FA)</f>
        <v>#N/A</v>
      </c>
      <c r="C9" s="55" t="e">
        <f t="shared" ref="C9:I9" ca="1" si="12">IF(application="Press Feed",C8*(360/FA),C8+FA)</f>
        <v>#N/A</v>
      </c>
      <c r="D9" s="55" t="e">
        <f t="shared" ca="1" si="12"/>
        <v>#N/A</v>
      </c>
      <c r="E9" s="55" t="e">
        <f t="shared" ca="1" si="12"/>
        <v>#N/A</v>
      </c>
      <c r="F9" s="55" t="e">
        <f t="shared" ca="1" si="12"/>
        <v>#N/A</v>
      </c>
      <c r="G9" s="55" t="e">
        <f t="shared" ca="1" si="12"/>
        <v>#N/A</v>
      </c>
      <c r="H9" s="55" t="e">
        <f t="shared" ca="1" si="12"/>
        <v>#N/A</v>
      </c>
      <c r="I9" s="206" t="e">
        <f t="shared" ca="1" si="12"/>
        <v>#N/A</v>
      </c>
      <c r="K9" s="352" t="s">
        <v>634</v>
      </c>
      <c r="L9" s="579" t="e">
        <f ca="1">IF(application="Press Feed",MOVTM_2*(360/FA_2),MOVTM_2+FA_2)</f>
        <v>#N/A</v>
      </c>
      <c r="M9" s="55" t="e">
        <f t="shared" ref="M9:S9" ca="1" si="13">IF(application="Press Feed",M8*(360/FA_2),M8+FA_2)</f>
        <v>#N/A</v>
      </c>
      <c r="N9" s="55" t="e">
        <f t="shared" ca="1" si="13"/>
        <v>#N/A</v>
      </c>
      <c r="O9" s="55" t="e">
        <f t="shared" ca="1" si="13"/>
        <v>#N/A</v>
      </c>
      <c r="P9" s="55" t="e">
        <f t="shared" ca="1" si="13"/>
        <v>#N/A</v>
      </c>
      <c r="Q9" s="55" t="e">
        <f t="shared" ca="1" si="13"/>
        <v>#N/A</v>
      </c>
      <c r="R9" s="55" t="e">
        <f t="shared" ca="1" si="13"/>
        <v>#N/A</v>
      </c>
      <c r="S9" s="206" t="e">
        <f t="shared" ca="1" si="13"/>
        <v>#N/A</v>
      </c>
    </row>
    <row r="10" spans="1:19" ht="15.75" thickBot="1" x14ac:dyDescent="0.3">
      <c r="A10" s="352" t="s">
        <v>635</v>
      </c>
      <c r="B10" s="232" t="e">
        <f ca="1">60/CYCTM</f>
        <v>#N/A</v>
      </c>
      <c r="C10" s="571" t="e">
        <f t="shared" ref="C10:I10" ca="1" si="14">IF(60/C9*C3&lt;StrMaxSpInch,ROUNDDOWN(60/C9,0),ROUNDDOWN(StrMaxSpInch/C3,0))</f>
        <v>#N/A</v>
      </c>
      <c r="D10" s="571" t="e">
        <f t="shared" ca="1" si="14"/>
        <v>#N/A</v>
      </c>
      <c r="E10" s="571" t="e">
        <f t="shared" ca="1" si="14"/>
        <v>#N/A</v>
      </c>
      <c r="F10" s="571" t="e">
        <f t="shared" ca="1" si="14"/>
        <v>#N/A</v>
      </c>
      <c r="G10" s="571" t="e">
        <f t="shared" ca="1" si="14"/>
        <v>#N/A</v>
      </c>
      <c r="H10" s="571" t="e">
        <f t="shared" ca="1" si="14"/>
        <v>#N/A</v>
      </c>
      <c r="I10" s="572" t="e">
        <f t="shared" ca="1" si="14"/>
        <v>#N/A</v>
      </c>
      <c r="K10" s="352" t="s">
        <v>635</v>
      </c>
      <c r="L10" s="576" t="e">
        <f ca="1">60/CYCTM_2</f>
        <v>#N/A</v>
      </c>
      <c r="M10" s="233" t="e">
        <f t="shared" ref="M10:S10" ca="1" si="15">IF(60/M9*M3&lt;StrMaxSpInch,ROUNDDOWN(60/M9,0),ROUNDDOWN(StrMaxSpInch/M3,0))</f>
        <v>#N/A</v>
      </c>
      <c r="N10" s="233" t="e">
        <f t="shared" ca="1" si="15"/>
        <v>#N/A</v>
      </c>
      <c r="O10" s="233" t="e">
        <f t="shared" ca="1" si="15"/>
        <v>#N/A</v>
      </c>
      <c r="P10" s="233" t="e">
        <f t="shared" ca="1" si="15"/>
        <v>#N/A</v>
      </c>
      <c r="Q10" s="233" t="e">
        <f t="shared" ca="1" si="15"/>
        <v>#N/A</v>
      </c>
      <c r="R10" s="233" t="e">
        <f t="shared" ca="1" si="15"/>
        <v>#N/A</v>
      </c>
      <c r="S10" s="389" t="e">
        <f t="shared" ca="1" si="15"/>
        <v>#N/A</v>
      </c>
    </row>
    <row r="11" spans="1:19" ht="15.75" thickBot="1" x14ac:dyDescent="0.3">
      <c r="I11" s="201"/>
      <c r="S11" s="201"/>
    </row>
    <row r="12" spans="1:19" ht="15.75" thickBot="1" x14ac:dyDescent="0.3">
      <c r="A12" s="352" t="s">
        <v>123</v>
      </c>
      <c r="B12" s="354">
        <f ca="1">I3+INCR</f>
        <v>32</v>
      </c>
      <c r="C12" s="354">
        <f t="shared" ref="C12:I12" ca="1" si="16">B12+INCR</f>
        <v>36</v>
      </c>
      <c r="D12" s="354">
        <f t="shared" ca="1" si="16"/>
        <v>40</v>
      </c>
      <c r="E12" s="354">
        <f t="shared" ca="1" si="16"/>
        <v>44</v>
      </c>
      <c r="F12" s="354">
        <f t="shared" ca="1" si="16"/>
        <v>48</v>
      </c>
      <c r="G12" s="354">
        <f t="shared" ca="1" si="16"/>
        <v>52</v>
      </c>
      <c r="H12" s="354">
        <f t="shared" ca="1" si="16"/>
        <v>56</v>
      </c>
      <c r="I12" s="354">
        <f t="shared" ca="1" si="16"/>
        <v>60</v>
      </c>
      <c r="K12" s="352" t="s">
        <v>123</v>
      </c>
      <c r="L12" s="354">
        <f ca="1">S3+INCR</f>
        <v>32</v>
      </c>
      <c r="M12" s="354">
        <f t="shared" ref="M12:S12" ca="1" si="17">L12+INCR</f>
        <v>36</v>
      </c>
      <c r="N12" s="354">
        <f t="shared" ca="1" si="17"/>
        <v>40</v>
      </c>
      <c r="O12" s="354">
        <f t="shared" ca="1" si="17"/>
        <v>44</v>
      </c>
      <c r="P12" s="354">
        <f t="shared" ca="1" si="17"/>
        <v>48</v>
      </c>
      <c r="Q12" s="354">
        <f t="shared" ca="1" si="17"/>
        <v>52</v>
      </c>
      <c r="R12" s="354">
        <f t="shared" ca="1" si="17"/>
        <v>56</v>
      </c>
      <c r="S12" s="354">
        <f t="shared" ca="1" si="17"/>
        <v>60</v>
      </c>
    </row>
    <row r="13" spans="1:19" ht="15.75" thickBot="1" x14ac:dyDescent="0.3">
      <c r="A13" s="352" t="s">
        <v>630</v>
      </c>
      <c r="B13" s="573" t="e">
        <f t="shared" ref="B13:I13" ca="1" si="18">SQRT((((PEAKTQ^2)*B16)+(((ACCTQ-STR_TO-FRICTQ-LOOPTQ)^2)*B16)+(((FRICTQ+LOOPTQ+STR_TO)^2)*B14)+(((SETTQ+LOOPTQ)^2)*SETTM)+((LOOPTQ^2)*B15))/B18)</f>
        <v>#N/A</v>
      </c>
      <c r="C13" s="577" t="e">
        <f t="shared" ca="1" si="18"/>
        <v>#N/A</v>
      </c>
      <c r="D13" s="577" t="e">
        <f t="shared" ca="1" si="18"/>
        <v>#N/A</v>
      </c>
      <c r="E13" s="577" t="e">
        <f t="shared" ca="1" si="18"/>
        <v>#N/A</v>
      </c>
      <c r="F13" s="577" t="e">
        <f t="shared" ca="1" si="18"/>
        <v>#N/A</v>
      </c>
      <c r="G13" s="577" t="e">
        <f t="shared" ca="1" si="18"/>
        <v>#N/A</v>
      </c>
      <c r="H13" s="577" t="e">
        <f t="shared" ca="1" si="18"/>
        <v>#N/A</v>
      </c>
      <c r="I13" s="578" t="e">
        <f t="shared" ca="1" si="18"/>
        <v>#N/A</v>
      </c>
      <c r="K13" s="352" t="s">
        <v>630</v>
      </c>
      <c r="L13" s="573" t="e">
        <f t="shared" ref="L13:S13" ca="1" si="19">SQRT((((PEAKTQ^2)*L16)+(((ACCTQ-STR_TO-FRICTQ-LOOPTQ)^2)*L16)+(((FRICTQ+LOOPTQ+STR_TO)^2)*L14)+(((SETTQ+LOOPTQ)^2)*SETTM)+((LOOPTQ^2)*L15))/L18)</f>
        <v>#N/A</v>
      </c>
      <c r="M13" s="577" t="e">
        <f t="shared" ca="1" si="19"/>
        <v>#N/A</v>
      </c>
      <c r="N13" s="577" t="e">
        <f t="shared" ca="1" si="19"/>
        <v>#N/A</v>
      </c>
      <c r="O13" s="577" t="e">
        <f t="shared" ca="1" si="19"/>
        <v>#N/A</v>
      </c>
      <c r="P13" s="577" t="e">
        <f t="shared" ca="1" si="19"/>
        <v>#N/A</v>
      </c>
      <c r="Q13" s="577" t="e">
        <f t="shared" ca="1" si="19"/>
        <v>#N/A</v>
      </c>
      <c r="R13" s="577" t="e">
        <f t="shared" ca="1" si="19"/>
        <v>#N/A</v>
      </c>
      <c r="S13" s="578" t="e">
        <f t="shared" ca="1" si="19"/>
        <v>#N/A</v>
      </c>
    </row>
    <row r="14" spans="1:19" ht="15.75" thickBot="1" x14ac:dyDescent="0.3">
      <c r="A14" s="352" t="s">
        <v>631</v>
      </c>
      <c r="B14" s="579" t="e">
        <f t="shared" ref="B14:I14" ca="1" si="20">IF(B12&gt;ALLACC,((B12-ALLACC)/12)/vel,0)</f>
        <v>#N/A</v>
      </c>
      <c r="C14" s="55" t="e">
        <f t="shared" ca="1" si="20"/>
        <v>#N/A</v>
      </c>
      <c r="D14" s="55" t="e">
        <f t="shared" ca="1" si="20"/>
        <v>#N/A</v>
      </c>
      <c r="E14" s="55" t="e">
        <f t="shared" ca="1" si="20"/>
        <v>#N/A</v>
      </c>
      <c r="F14" s="55" t="e">
        <f t="shared" ca="1" si="20"/>
        <v>#N/A</v>
      </c>
      <c r="G14" s="55" t="e">
        <f t="shared" ca="1" si="20"/>
        <v>#N/A</v>
      </c>
      <c r="H14" s="55" t="e">
        <f t="shared" ca="1" si="20"/>
        <v>#N/A</v>
      </c>
      <c r="I14" s="206" t="e">
        <f t="shared" ca="1" si="20"/>
        <v>#N/A</v>
      </c>
      <c r="K14" s="352" t="s">
        <v>631</v>
      </c>
      <c r="L14" s="579" t="e">
        <f t="shared" ref="L14:S14" ca="1" si="21">IF(L12&gt;ALLACC,((L12-ALLACC)/12)/vel,0)</f>
        <v>#N/A</v>
      </c>
      <c r="M14" s="55" t="e">
        <f t="shared" ca="1" si="21"/>
        <v>#N/A</v>
      </c>
      <c r="N14" s="55" t="e">
        <f t="shared" ca="1" si="21"/>
        <v>#N/A</v>
      </c>
      <c r="O14" s="55" t="e">
        <f t="shared" ca="1" si="21"/>
        <v>#N/A</v>
      </c>
      <c r="P14" s="55" t="e">
        <f t="shared" ca="1" si="21"/>
        <v>#N/A</v>
      </c>
      <c r="Q14" s="55" t="e">
        <f t="shared" ca="1" si="21"/>
        <v>#N/A</v>
      </c>
      <c r="R14" s="55" t="e">
        <f t="shared" ca="1" si="21"/>
        <v>#N/A</v>
      </c>
      <c r="S14" s="206" t="e">
        <f t="shared" ca="1" si="21"/>
        <v>#N/A</v>
      </c>
    </row>
    <row r="15" spans="1:19" ht="15.75" thickBot="1" x14ac:dyDescent="0.3">
      <c r="A15" s="352" t="s">
        <v>632</v>
      </c>
      <c r="B15" s="579" t="e">
        <f t="shared" ref="B15:I15" ca="1" si="22">B18-B17</f>
        <v>#N/A</v>
      </c>
      <c r="C15" s="55" t="e">
        <f t="shared" ca="1" si="22"/>
        <v>#N/A</v>
      </c>
      <c r="D15" s="55" t="e">
        <f t="shared" ca="1" si="22"/>
        <v>#N/A</v>
      </c>
      <c r="E15" s="55" t="e">
        <f t="shared" ca="1" si="22"/>
        <v>#N/A</v>
      </c>
      <c r="F15" s="55" t="e">
        <f t="shared" ca="1" si="22"/>
        <v>#N/A</v>
      </c>
      <c r="G15" s="55" t="e">
        <f t="shared" ca="1" si="22"/>
        <v>#N/A</v>
      </c>
      <c r="H15" s="55" t="e">
        <f t="shared" ca="1" si="22"/>
        <v>#N/A</v>
      </c>
      <c r="I15" s="206" t="e">
        <f t="shared" ca="1" si="22"/>
        <v>#N/A</v>
      </c>
      <c r="K15" s="352" t="s">
        <v>632</v>
      </c>
      <c r="L15" s="579" t="e">
        <f t="shared" ref="L15:S15" ca="1" si="23">L18-L17</f>
        <v>#N/A</v>
      </c>
      <c r="M15" s="55" t="e">
        <f t="shared" ca="1" si="23"/>
        <v>#N/A</v>
      </c>
      <c r="N15" s="55" t="e">
        <f t="shared" ca="1" si="23"/>
        <v>#N/A</v>
      </c>
      <c r="O15" s="55" t="e">
        <f t="shared" ca="1" si="23"/>
        <v>#N/A</v>
      </c>
      <c r="P15" s="55" t="e">
        <f t="shared" ca="1" si="23"/>
        <v>#N/A</v>
      </c>
      <c r="Q15" s="55" t="e">
        <f t="shared" ca="1" si="23"/>
        <v>#N/A</v>
      </c>
      <c r="R15" s="55" t="e">
        <f t="shared" ca="1" si="23"/>
        <v>#N/A</v>
      </c>
      <c r="S15" s="206" t="e">
        <f t="shared" ca="1" si="23"/>
        <v>#N/A</v>
      </c>
    </row>
    <row r="16" spans="1:19" ht="15.75" thickBot="1" x14ac:dyDescent="0.3">
      <c r="A16" s="352" t="s">
        <v>85</v>
      </c>
      <c r="B16" s="579" t="e">
        <f t="shared" ref="B16:I16" ca="1" si="24">IF(B12&gt;ALLACC,ACCTM,SQRT((B12/12)/ACCEL))</f>
        <v>#N/A</v>
      </c>
      <c r="C16" s="55" t="e">
        <f t="shared" ca="1" si="24"/>
        <v>#N/A</v>
      </c>
      <c r="D16" s="55" t="e">
        <f t="shared" ca="1" si="24"/>
        <v>#N/A</v>
      </c>
      <c r="E16" s="55" t="e">
        <f t="shared" ca="1" si="24"/>
        <v>#N/A</v>
      </c>
      <c r="F16" s="55" t="e">
        <f t="shared" ca="1" si="24"/>
        <v>#N/A</v>
      </c>
      <c r="G16" s="55" t="e">
        <f t="shared" ca="1" si="24"/>
        <v>#N/A</v>
      </c>
      <c r="H16" s="55" t="e">
        <f t="shared" ca="1" si="24"/>
        <v>#N/A</v>
      </c>
      <c r="I16" s="206" t="e">
        <f t="shared" ca="1" si="24"/>
        <v>#N/A</v>
      </c>
      <c r="K16" s="352" t="s">
        <v>85</v>
      </c>
      <c r="L16" s="579" t="e">
        <f t="shared" ref="L16:S16" ca="1" si="25">IF(L12&gt;ALLACC,ACCTM,SQRT((L12/12)/ACCEL))</f>
        <v>#N/A</v>
      </c>
      <c r="M16" s="55" t="e">
        <f t="shared" ca="1" si="25"/>
        <v>#N/A</v>
      </c>
      <c r="N16" s="55" t="e">
        <f t="shared" ca="1" si="25"/>
        <v>#N/A</v>
      </c>
      <c r="O16" s="55" t="e">
        <f t="shared" ca="1" si="25"/>
        <v>#N/A</v>
      </c>
      <c r="P16" s="55" t="e">
        <f t="shared" ca="1" si="25"/>
        <v>#N/A</v>
      </c>
      <c r="Q16" s="55" t="e">
        <f t="shared" ca="1" si="25"/>
        <v>#N/A</v>
      </c>
      <c r="R16" s="55" t="e">
        <f t="shared" ca="1" si="25"/>
        <v>#N/A</v>
      </c>
      <c r="S16" s="206" t="e">
        <f t="shared" ca="1" si="25"/>
        <v>#N/A</v>
      </c>
    </row>
    <row r="17" spans="1:19" ht="15.75" thickBot="1" x14ac:dyDescent="0.3">
      <c r="A17" s="352" t="s">
        <v>633</v>
      </c>
      <c r="B17" s="579" t="e">
        <f t="shared" ref="B17:I17" ca="1" si="26">(B16*2)+B14+SETTM</f>
        <v>#N/A</v>
      </c>
      <c r="C17" s="55" t="e">
        <f t="shared" ca="1" si="26"/>
        <v>#N/A</v>
      </c>
      <c r="D17" s="55" t="e">
        <f t="shared" ca="1" si="26"/>
        <v>#N/A</v>
      </c>
      <c r="E17" s="55" t="e">
        <f t="shared" ca="1" si="26"/>
        <v>#N/A</v>
      </c>
      <c r="F17" s="55" t="e">
        <f t="shared" ca="1" si="26"/>
        <v>#N/A</v>
      </c>
      <c r="G17" s="55" t="e">
        <f t="shared" ca="1" si="26"/>
        <v>#N/A</v>
      </c>
      <c r="H17" s="55" t="e">
        <f t="shared" ca="1" si="26"/>
        <v>#N/A</v>
      </c>
      <c r="I17" s="206" t="e">
        <f t="shared" ca="1" si="26"/>
        <v>#N/A</v>
      </c>
      <c r="K17" s="352" t="s">
        <v>633</v>
      </c>
      <c r="L17" s="579" t="e">
        <f t="shared" ref="L17:S17" ca="1" si="27">(L16*2)+L14+SETTM</f>
        <v>#N/A</v>
      </c>
      <c r="M17" s="55" t="e">
        <f t="shared" ca="1" si="27"/>
        <v>#N/A</v>
      </c>
      <c r="N17" s="55" t="e">
        <f t="shared" ca="1" si="27"/>
        <v>#N/A</v>
      </c>
      <c r="O17" s="55" t="e">
        <f t="shared" ca="1" si="27"/>
        <v>#N/A</v>
      </c>
      <c r="P17" s="55" t="e">
        <f t="shared" ca="1" si="27"/>
        <v>#N/A</v>
      </c>
      <c r="Q17" s="55" t="e">
        <f t="shared" ca="1" si="27"/>
        <v>#N/A</v>
      </c>
      <c r="R17" s="55" t="e">
        <f t="shared" ca="1" si="27"/>
        <v>#N/A</v>
      </c>
      <c r="S17" s="206" t="e">
        <f t="shared" ca="1" si="27"/>
        <v>#N/A</v>
      </c>
    </row>
    <row r="18" spans="1:19" ht="15.75" thickBot="1" x14ac:dyDescent="0.3">
      <c r="A18" s="352" t="s">
        <v>634</v>
      </c>
      <c r="B18" s="579" t="e">
        <f t="shared" ref="B18:I18" ca="1" si="28">IF(application="Press Feed",B17*(360/FA),B17+FA)</f>
        <v>#N/A</v>
      </c>
      <c r="C18" s="55" t="e">
        <f t="shared" ca="1" si="28"/>
        <v>#N/A</v>
      </c>
      <c r="D18" s="55" t="e">
        <f t="shared" ca="1" si="28"/>
        <v>#N/A</v>
      </c>
      <c r="E18" s="55" t="e">
        <f t="shared" ca="1" si="28"/>
        <v>#N/A</v>
      </c>
      <c r="F18" s="55" t="e">
        <f t="shared" ca="1" si="28"/>
        <v>#N/A</v>
      </c>
      <c r="G18" s="55" t="e">
        <f t="shared" ca="1" si="28"/>
        <v>#N/A</v>
      </c>
      <c r="H18" s="55" t="e">
        <f t="shared" ca="1" si="28"/>
        <v>#N/A</v>
      </c>
      <c r="I18" s="206" t="e">
        <f t="shared" ca="1" si="28"/>
        <v>#N/A</v>
      </c>
      <c r="K18" s="352" t="s">
        <v>634</v>
      </c>
      <c r="L18" s="579" t="e">
        <f t="shared" ref="L18:S18" ca="1" si="29">IF(application="Press Feed",L17*(360/FA_2),L17+FA_2)</f>
        <v>#N/A</v>
      </c>
      <c r="M18" s="360" t="e">
        <f t="shared" ca="1" si="29"/>
        <v>#N/A</v>
      </c>
      <c r="N18" s="360" t="e">
        <f t="shared" ca="1" si="29"/>
        <v>#N/A</v>
      </c>
      <c r="O18" s="360" t="e">
        <f t="shared" ca="1" si="29"/>
        <v>#N/A</v>
      </c>
      <c r="P18" s="360" t="e">
        <f t="shared" ca="1" si="29"/>
        <v>#N/A</v>
      </c>
      <c r="Q18" s="360" t="e">
        <f t="shared" ca="1" si="29"/>
        <v>#N/A</v>
      </c>
      <c r="R18" s="360" t="e">
        <f t="shared" ca="1" si="29"/>
        <v>#N/A</v>
      </c>
      <c r="S18" s="580" t="e">
        <f t="shared" ca="1" si="29"/>
        <v>#N/A</v>
      </c>
    </row>
    <row r="19" spans="1:19" ht="15.75" thickBot="1" x14ac:dyDescent="0.3">
      <c r="A19" s="352" t="s">
        <v>635</v>
      </c>
      <c r="B19" s="576" t="e">
        <f t="shared" ref="B19:I19" ca="1" si="30">IF(60/B18*B12&lt;StrMaxSpInch,ROUNDDOWN(60/B18,0),ROUNDDOWN(StrMaxSpInch/B12,0))</f>
        <v>#N/A</v>
      </c>
      <c r="C19" s="233" t="e">
        <f t="shared" ca="1" si="30"/>
        <v>#N/A</v>
      </c>
      <c r="D19" s="233" t="e">
        <f t="shared" ca="1" si="30"/>
        <v>#N/A</v>
      </c>
      <c r="E19" s="233" t="e">
        <f t="shared" ca="1" si="30"/>
        <v>#N/A</v>
      </c>
      <c r="F19" s="233" t="e">
        <f t="shared" ca="1" si="30"/>
        <v>#N/A</v>
      </c>
      <c r="G19" s="233" t="e">
        <f t="shared" ca="1" si="30"/>
        <v>#N/A</v>
      </c>
      <c r="H19" s="233" t="e">
        <f t="shared" ca="1" si="30"/>
        <v>#N/A</v>
      </c>
      <c r="I19" s="389" t="e">
        <f t="shared" ca="1" si="30"/>
        <v>#N/A</v>
      </c>
      <c r="K19" s="352" t="s">
        <v>635</v>
      </c>
      <c r="L19" s="576" t="e">
        <f t="shared" ref="L19:S19" ca="1" si="31">IF(60/L18*L12&lt;StrMaxSpInch,ROUNDDOWN(60/L18,0),ROUNDDOWN(StrMaxSpInch/L12,0))</f>
        <v>#N/A</v>
      </c>
      <c r="M19" s="233" t="e">
        <f t="shared" ca="1" si="31"/>
        <v>#N/A</v>
      </c>
      <c r="N19" s="233" t="e">
        <f t="shared" ca="1" si="31"/>
        <v>#N/A</v>
      </c>
      <c r="O19" s="233" t="e">
        <f t="shared" ca="1" si="31"/>
        <v>#N/A</v>
      </c>
      <c r="P19" s="233" t="e">
        <f t="shared" ca="1" si="31"/>
        <v>#N/A</v>
      </c>
      <c r="Q19" s="233" t="e">
        <f t="shared" ca="1" si="31"/>
        <v>#N/A</v>
      </c>
      <c r="R19" s="233" t="e">
        <f t="shared" ca="1" si="31"/>
        <v>#N/A</v>
      </c>
      <c r="S19" s="389" t="e">
        <f t="shared" ca="1" si="31"/>
        <v>#N/A</v>
      </c>
    </row>
    <row r="20" spans="1:19" ht="15.75" thickBot="1" x14ac:dyDescent="0.3">
      <c r="I20" s="201"/>
      <c r="S20" s="201"/>
    </row>
    <row r="21" spans="1:19" ht="15.75" thickBot="1" x14ac:dyDescent="0.3">
      <c r="A21" s="352" t="s">
        <v>123</v>
      </c>
      <c r="B21" s="363">
        <f ca="1">I12+INCR</f>
        <v>64</v>
      </c>
      <c r="C21" s="354">
        <f t="shared" ref="C21:I21" ca="1" si="32">B21+INCR</f>
        <v>68</v>
      </c>
      <c r="D21" s="354">
        <f t="shared" ca="1" si="32"/>
        <v>72</v>
      </c>
      <c r="E21" s="354">
        <f t="shared" ca="1" si="32"/>
        <v>76</v>
      </c>
      <c r="F21" s="354">
        <f t="shared" ca="1" si="32"/>
        <v>80</v>
      </c>
      <c r="G21" s="354">
        <f t="shared" ca="1" si="32"/>
        <v>84</v>
      </c>
      <c r="H21" s="354">
        <f t="shared" ca="1" si="32"/>
        <v>88</v>
      </c>
      <c r="I21" s="354">
        <f t="shared" ca="1" si="32"/>
        <v>92</v>
      </c>
      <c r="K21" s="352" t="s">
        <v>123</v>
      </c>
      <c r="L21" s="363">
        <f ca="1">S12+INCR</f>
        <v>64</v>
      </c>
      <c r="M21" s="354">
        <f t="shared" ref="M21:S21" ca="1" si="33">L21+INCR</f>
        <v>68</v>
      </c>
      <c r="N21" s="354">
        <f t="shared" ca="1" si="33"/>
        <v>72</v>
      </c>
      <c r="O21" s="354">
        <f t="shared" ca="1" si="33"/>
        <v>76</v>
      </c>
      <c r="P21" s="354">
        <f t="shared" ca="1" si="33"/>
        <v>80</v>
      </c>
      <c r="Q21" s="354">
        <f t="shared" ca="1" si="33"/>
        <v>84</v>
      </c>
      <c r="R21" s="354">
        <f t="shared" ca="1" si="33"/>
        <v>88</v>
      </c>
      <c r="S21" s="354">
        <f t="shared" ca="1" si="33"/>
        <v>92</v>
      </c>
    </row>
    <row r="22" spans="1:19" ht="15.75" thickBot="1" x14ac:dyDescent="0.3">
      <c r="A22" s="352" t="s">
        <v>630</v>
      </c>
      <c r="B22" s="573" t="e">
        <f t="shared" ref="B22:I22" ca="1" si="34">SQRT((((PEAKTQ^2)*B25)+(((ACCTQ-STR_TO-FRICTQ-LOOPTQ)^2)*B25)+(((FRICTQ+LOOPTQ+STR_TO)^2)*B23)+(((SETTQ+LOOPTQ)^2)*SETTM)+((LOOPTQ^2)*B24))/B27)</f>
        <v>#N/A</v>
      </c>
      <c r="C22" s="577" t="e">
        <f t="shared" ca="1" si="34"/>
        <v>#N/A</v>
      </c>
      <c r="D22" s="577" t="e">
        <f t="shared" ca="1" si="34"/>
        <v>#N/A</v>
      </c>
      <c r="E22" s="577" t="e">
        <f t="shared" ca="1" si="34"/>
        <v>#N/A</v>
      </c>
      <c r="F22" s="577" t="e">
        <f t="shared" ca="1" si="34"/>
        <v>#N/A</v>
      </c>
      <c r="G22" s="577" t="e">
        <f t="shared" ca="1" si="34"/>
        <v>#N/A</v>
      </c>
      <c r="H22" s="577" t="e">
        <f t="shared" ca="1" si="34"/>
        <v>#N/A</v>
      </c>
      <c r="I22" s="578" t="e">
        <f t="shared" ca="1" si="34"/>
        <v>#N/A</v>
      </c>
      <c r="K22" s="352" t="s">
        <v>630</v>
      </c>
      <c r="L22" s="573" t="e">
        <f t="shared" ref="L22:S22" ca="1" si="35">SQRT((((PEAKTQ^2)*L25)+(((ACCTQ-STR_TO-FRICTQ-LOOPTQ)^2)*L25)+(((FRICTQ+LOOPTQ+STR_TO)^2)*L23)+(((SETTQ+LOOPTQ)^2)*SETTM)+((LOOPTQ^2)*L24))/L27)</f>
        <v>#N/A</v>
      </c>
      <c r="M22" s="577" t="e">
        <f t="shared" ca="1" si="35"/>
        <v>#N/A</v>
      </c>
      <c r="N22" s="577" t="e">
        <f t="shared" ca="1" si="35"/>
        <v>#N/A</v>
      </c>
      <c r="O22" s="577" t="e">
        <f t="shared" ca="1" si="35"/>
        <v>#N/A</v>
      </c>
      <c r="P22" s="577" t="e">
        <f t="shared" ca="1" si="35"/>
        <v>#N/A</v>
      </c>
      <c r="Q22" s="577" t="e">
        <f t="shared" ca="1" si="35"/>
        <v>#N/A</v>
      </c>
      <c r="R22" s="577" t="e">
        <f t="shared" ca="1" si="35"/>
        <v>#N/A</v>
      </c>
      <c r="S22" s="578" t="e">
        <f t="shared" ca="1" si="35"/>
        <v>#N/A</v>
      </c>
    </row>
    <row r="23" spans="1:19" ht="15.75" thickBot="1" x14ac:dyDescent="0.3">
      <c r="A23" s="352" t="s">
        <v>631</v>
      </c>
      <c r="B23" s="579" t="e">
        <f t="shared" ref="B23:I23" ca="1" si="36">IF(B21&gt;ALLACC,((B21-ALLACC)/12)/vel,0)</f>
        <v>#N/A</v>
      </c>
      <c r="C23" s="55" t="e">
        <f t="shared" ca="1" si="36"/>
        <v>#N/A</v>
      </c>
      <c r="D23" s="55" t="e">
        <f t="shared" ca="1" si="36"/>
        <v>#N/A</v>
      </c>
      <c r="E23" s="55" t="e">
        <f t="shared" ca="1" si="36"/>
        <v>#N/A</v>
      </c>
      <c r="F23" s="55" t="e">
        <f t="shared" ca="1" si="36"/>
        <v>#N/A</v>
      </c>
      <c r="G23" s="55" t="e">
        <f t="shared" ca="1" si="36"/>
        <v>#N/A</v>
      </c>
      <c r="H23" s="55" t="e">
        <f t="shared" ca="1" si="36"/>
        <v>#N/A</v>
      </c>
      <c r="I23" s="206" t="e">
        <f t="shared" ca="1" si="36"/>
        <v>#N/A</v>
      </c>
      <c r="K23" s="352" t="s">
        <v>631</v>
      </c>
      <c r="L23" s="579" t="e">
        <f t="shared" ref="L23:S23" ca="1" si="37">IF(L21&gt;ALLACC,((L21-ALLACC)/12)/vel,0)</f>
        <v>#N/A</v>
      </c>
      <c r="M23" s="55" t="e">
        <f t="shared" ca="1" si="37"/>
        <v>#N/A</v>
      </c>
      <c r="N23" s="55" t="e">
        <f t="shared" ca="1" si="37"/>
        <v>#N/A</v>
      </c>
      <c r="O23" s="55" t="e">
        <f t="shared" ca="1" si="37"/>
        <v>#N/A</v>
      </c>
      <c r="P23" s="55" t="e">
        <f t="shared" ca="1" si="37"/>
        <v>#N/A</v>
      </c>
      <c r="Q23" s="55" t="e">
        <f t="shared" ca="1" si="37"/>
        <v>#N/A</v>
      </c>
      <c r="R23" s="55" t="e">
        <f t="shared" ca="1" si="37"/>
        <v>#N/A</v>
      </c>
      <c r="S23" s="206" t="e">
        <f t="shared" ca="1" si="37"/>
        <v>#N/A</v>
      </c>
    </row>
    <row r="24" spans="1:19" ht="15.75" thickBot="1" x14ac:dyDescent="0.3">
      <c r="A24" s="352" t="s">
        <v>632</v>
      </c>
      <c r="B24" s="579" t="e">
        <f t="shared" ref="B24:I24" ca="1" si="38">B27-B26</f>
        <v>#N/A</v>
      </c>
      <c r="C24" s="55" t="e">
        <f t="shared" ca="1" si="38"/>
        <v>#N/A</v>
      </c>
      <c r="D24" s="55" t="e">
        <f t="shared" ca="1" si="38"/>
        <v>#N/A</v>
      </c>
      <c r="E24" s="55" t="e">
        <f t="shared" ca="1" si="38"/>
        <v>#N/A</v>
      </c>
      <c r="F24" s="55" t="e">
        <f t="shared" ca="1" si="38"/>
        <v>#N/A</v>
      </c>
      <c r="G24" s="55" t="e">
        <f t="shared" ca="1" si="38"/>
        <v>#N/A</v>
      </c>
      <c r="H24" s="55" t="e">
        <f t="shared" ca="1" si="38"/>
        <v>#N/A</v>
      </c>
      <c r="I24" s="206" t="e">
        <f t="shared" ca="1" si="38"/>
        <v>#N/A</v>
      </c>
      <c r="K24" s="352" t="s">
        <v>632</v>
      </c>
      <c r="L24" s="579" t="e">
        <f t="shared" ref="L24:S24" ca="1" si="39">L27-L26</f>
        <v>#N/A</v>
      </c>
      <c r="M24" s="55" t="e">
        <f t="shared" ca="1" si="39"/>
        <v>#N/A</v>
      </c>
      <c r="N24" s="55" t="e">
        <f t="shared" ca="1" si="39"/>
        <v>#N/A</v>
      </c>
      <c r="O24" s="55" t="e">
        <f t="shared" ca="1" si="39"/>
        <v>#N/A</v>
      </c>
      <c r="P24" s="55" t="e">
        <f t="shared" ca="1" si="39"/>
        <v>#N/A</v>
      </c>
      <c r="Q24" s="55" t="e">
        <f t="shared" ca="1" si="39"/>
        <v>#N/A</v>
      </c>
      <c r="R24" s="55" t="e">
        <f t="shared" ca="1" si="39"/>
        <v>#N/A</v>
      </c>
      <c r="S24" s="206" t="e">
        <f t="shared" ca="1" si="39"/>
        <v>#N/A</v>
      </c>
    </row>
    <row r="25" spans="1:19" ht="15.75" thickBot="1" x14ac:dyDescent="0.3">
      <c r="A25" s="352" t="s">
        <v>85</v>
      </c>
      <c r="B25" s="579" t="e">
        <f t="shared" ref="B25:I25" ca="1" si="40">IF(B21&gt;ALLACC,ACCTM,SQRT((B21/12)/ACCEL))</f>
        <v>#N/A</v>
      </c>
      <c r="C25" s="55" t="e">
        <f t="shared" ca="1" si="40"/>
        <v>#N/A</v>
      </c>
      <c r="D25" s="55" t="e">
        <f t="shared" ca="1" si="40"/>
        <v>#N/A</v>
      </c>
      <c r="E25" s="55" t="e">
        <f t="shared" ca="1" si="40"/>
        <v>#N/A</v>
      </c>
      <c r="F25" s="55" t="e">
        <f t="shared" ca="1" si="40"/>
        <v>#N/A</v>
      </c>
      <c r="G25" s="55" t="e">
        <f t="shared" ca="1" si="40"/>
        <v>#N/A</v>
      </c>
      <c r="H25" s="55" t="e">
        <f t="shared" ca="1" si="40"/>
        <v>#N/A</v>
      </c>
      <c r="I25" s="206" t="e">
        <f t="shared" ca="1" si="40"/>
        <v>#N/A</v>
      </c>
      <c r="K25" s="352" t="s">
        <v>85</v>
      </c>
      <c r="L25" s="579" t="e">
        <f t="shared" ref="L25:S25" ca="1" si="41">IF(L21&gt;ALLACC,ACCTM,SQRT((L21/12)/ACCEL))</f>
        <v>#N/A</v>
      </c>
      <c r="M25" s="55" t="e">
        <f t="shared" ca="1" si="41"/>
        <v>#N/A</v>
      </c>
      <c r="N25" s="55" t="e">
        <f t="shared" ca="1" si="41"/>
        <v>#N/A</v>
      </c>
      <c r="O25" s="55" t="e">
        <f t="shared" ca="1" si="41"/>
        <v>#N/A</v>
      </c>
      <c r="P25" s="55" t="e">
        <f t="shared" ca="1" si="41"/>
        <v>#N/A</v>
      </c>
      <c r="Q25" s="55" t="e">
        <f t="shared" ca="1" si="41"/>
        <v>#N/A</v>
      </c>
      <c r="R25" s="55" t="e">
        <f t="shared" ca="1" si="41"/>
        <v>#N/A</v>
      </c>
      <c r="S25" s="206" t="e">
        <f t="shared" ca="1" si="41"/>
        <v>#N/A</v>
      </c>
    </row>
    <row r="26" spans="1:19" ht="15.75" thickBot="1" x14ac:dyDescent="0.3">
      <c r="A26" s="352" t="s">
        <v>633</v>
      </c>
      <c r="B26" s="579" t="e">
        <f t="shared" ref="B26:I26" ca="1" si="42">(B25*2)+B23+SETTM</f>
        <v>#N/A</v>
      </c>
      <c r="C26" s="55" t="e">
        <f t="shared" ca="1" si="42"/>
        <v>#N/A</v>
      </c>
      <c r="D26" s="55" t="e">
        <f t="shared" ca="1" si="42"/>
        <v>#N/A</v>
      </c>
      <c r="E26" s="55" t="e">
        <f t="shared" ca="1" si="42"/>
        <v>#N/A</v>
      </c>
      <c r="F26" s="55" t="e">
        <f t="shared" ca="1" si="42"/>
        <v>#N/A</v>
      </c>
      <c r="G26" s="55" t="e">
        <f t="shared" ca="1" si="42"/>
        <v>#N/A</v>
      </c>
      <c r="H26" s="55" t="e">
        <f t="shared" ca="1" si="42"/>
        <v>#N/A</v>
      </c>
      <c r="I26" s="206" t="e">
        <f t="shared" ca="1" si="42"/>
        <v>#N/A</v>
      </c>
      <c r="K26" s="352" t="s">
        <v>633</v>
      </c>
      <c r="L26" s="579" t="e">
        <f t="shared" ref="L26:S26" ca="1" si="43">(L25*2)+L23+SETTM</f>
        <v>#N/A</v>
      </c>
      <c r="M26" s="55" t="e">
        <f t="shared" ca="1" si="43"/>
        <v>#N/A</v>
      </c>
      <c r="N26" s="55" t="e">
        <f t="shared" ca="1" si="43"/>
        <v>#N/A</v>
      </c>
      <c r="O26" s="55" t="e">
        <f t="shared" ca="1" si="43"/>
        <v>#N/A</v>
      </c>
      <c r="P26" s="55" t="e">
        <f t="shared" ca="1" si="43"/>
        <v>#N/A</v>
      </c>
      <c r="Q26" s="55" t="e">
        <f t="shared" ca="1" si="43"/>
        <v>#N/A</v>
      </c>
      <c r="R26" s="55" t="e">
        <f t="shared" ca="1" si="43"/>
        <v>#N/A</v>
      </c>
      <c r="S26" s="206" t="e">
        <f t="shared" ca="1" si="43"/>
        <v>#N/A</v>
      </c>
    </row>
    <row r="27" spans="1:19" ht="15.75" thickBot="1" x14ac:dyDescent="0.3">
      <c r="A27" s="352" t="s">
        <v>634</v>
      </c>
      <c r="B27" s="579" t="e">
        <f t="shared" ref="B27:I27" ca="1" si="44">IF(application="Press Feed",B26*(360/FA),B26+FA)</f>
        <v>#N/A</v>
      </c>
      <c r="C27" s="360" t="e">
        <f t="shared" ca="1" si="44"/>
        <v>#N/A</v>
      </c>
      <c r="D27" s="360" t="e">
        <f t="shared" ca="1" si="44"/>
        <v>#N/A</v>
      </c>
      <c r="E27" s="360" t="e">
        <f t="shared" ca="1" si="44"/>
        <v>#N/A</v>
      </c>
      <c r="F27" s="360" t="e">
        <f t="shared" ca="1" si="44"/>
        <v>#N/A</v>
      </c>
      <c r="G27" s="360" t="e">
        <f t="shared" ca="1" si="44"/>
        <v>#N/A</v>
      </c>
      <c r="H27" s="360" t="e">
        <f t="shared" ca="1" si="44"/>
        <v>#N/A</v>
      </c>
      <c r="I27" s="580" t="e">
        <f t="shared" ca="1" si="44"/>
        <v>#N/A</v>
      </c>
      <c r="K27" s="352" t="s">
        <v>634</v>
      </c>
      <c r="L27" s="579" t="e">
        <f t="shared" ref="L27:S27" ca="1" si="45">IF(application="Press Feed",L26*(360/FA_2),L26+FA_2)</f>
        <v>#N/A</v>
      </c>
      <c r="M27" s="360" t="e">
        <f t="shared" ca="1" si="45"/>
        <v>#N/A</v>
      </c>
      <c r="N27" s="360" t="e">
        <f t="shared" ca="1" si="45"/>
        <v>#N/A</v>
      </c>
      <c r="O27" s="360" t="e">
        <f t="shared" ca="1" si="45"/>
        <v>#N/A</v>
      </c>
      <c r="P27" s="360" t="e">
        <f t="shared" ca="1" si="45"/>
        <v>#N/A</v>
      </c>
      <c r="Q27" s="360" t="e">
        <f t="shared" ca="1" si="45"/>
        <v>#N/A</v>
      </c>
      <c r="R27" s="360" t="e">
        <f t="shared" ca="1" si="45"/>
        <v>#N/A</v>
      </c>
      <c r="S27" s="580" t="e">
        <f t="shared" ca="1" si="45"/>
        <v>#N/A</v>
      </c>
    </row>
    <row r="28" spans="1:19" ht="15.75" thickBot="1" x14ac:dyDescent="0.3">
      <c r="A28" s="352" t="s">
        <v>635</v>
      </c>
      <c r="B28" s="576" t="e">
        <f t="shared" ref="B28:I28" ca="1" si="46">IF(60/B27*B21&lt;StrMaxSpInch,ROUNDDOWN(60/B27,0),ROUNDDOWN(StrMaxSpInch/B21,0))</f>
        <v>#N/A</v>
      </c>
      <c r="C28" s="233" t="e">
        <f t="shared" ca="1" si="46"/>
        <v>#N/A</v>
      </c>
      <c r="D28" s="233" t="e">
        <f t="shared" ca="1" si="46"/>
        <v>#N/A</v>
      </c>
      <c r="E28" s="233" t="e">
        <f t="shared" ca="1" si="46"/>
        <v>#N/A</v>
      </c>
      <c r="F28" s="233" t="e">
        <f t="shared" ca="1" si="46"/>
        <v>#N/A</v>
      </c>
      <c r="G28" s="233" t="e">
        <f t="shared" ca="1" si="46"/>
        <v>#N/A</v>
      </c>
      <c r="H28" s="233" t="e">
        <f t="shared" ca="1" si="46"/>
        <v>#N/A</v>
      </c>
      <c r="I28" s="389" t="e">
        <f t="shared" ca="1" si="46"/>
        <v>#N/A</v>
      </c>
      <c r="K28" s="352" t="s">
        <v>635</v>
      </c>
      <c r="L28" s="576" t="e">
        <f t="shared" ref="L28:S28" ca="1" si="47">IF(60/L27*L21&lt;StrMaxSpInch,ROUNDDOWN(60/L27,0),ROUNDDOWN(StrMaxSpInch/L21,0))</f>
        <v>#N/A</v>
      </c>
      <c r="M28" s="233" t="e">
        <f t="shared" ca="1" si="47"/>
        <v>#N/A</v>
      </c>
      <c r="N28" s="233" t="e">
        <f t="shared" ca="1" si="47"/>
        <v>#N/A</v>
      </c>
      <c r="O28" s="233" t="e">
        <f t="shared" ca="1" si="47"/>
        <v>#N/A</v>
      </c>
      <c r="P28" s="233" t="e">
        <f t="shared" ca="1" si="47"/>
        <v>#N/A</v>
      </c>
      <c r="Q28" s="233" t="e">
        <f t="shared" ca="1" si="47"/>
        <v>#N/A</v>
      </c>
      <c r="R28" s="233" t="e">
        <f t="shared" ca="1" si="47"/>
        <v>#N/A</v>
      </c>
      <c r="S28" s="389" t="e">
        <f t="shared" ca="1" si="47"/>
        <v>#N/A</v>
      </c>
    </row>
    <row r="31" spans="1:19" x14ac:dyDescent="0.25">
      <c r="A31" s="600" t="s">
        <v>1022</v>
      </c>
      <c r="B31" s="600"/>
      <c r="D31" s="601" t="s">
        <v>1021</v>
      </c>
      <c r="E31" s="600"/>
      <c r="F31" s="600"/>
    </row>
    <row r="32" spans="1:19" x14ac:dyDescent="0.25">
      <c r="A32" s="600" t="s">
        <v>917</v>
      </c>
      <c r="B32" s="600" t="e">
        <f ca="1">INDIRECT("'" &amp; A$31 &amp; "'!" &amp; A32)</f>
        <v>#N/A</v>
      </c>
      <c r="D32" s="600" t="s">
        <v>905</v>
      </c>
      <c r="E32" s="600">
        <f t="shared" ref="E32:E69" ca="1" si="48">INDIRECT("'" &amp; $D$31 &amp; "'!" &amp; $D32)</f>
        <v>80</v>
      </c>
      <c r="F32" s="600"/>
    </row>
    <row r="33" spans="1:6" x14ac:dyDescent="0.25">
      <c r="A33" s="600" t="s">
        <v>490</v>
      </c>
      <c r="B33" s="600" t="e">
        <f t="shared" ref="B33:B40" ca="1" si="49">INDIRECT("'" &amp; A$31 &amp; "'!" &amp; A33)</f>
        <v>#N/A</v>
      </c>
      <c r="D33" s="600" t="s">
        <v>910</v>
      </c>
      <c r="E33" s="600" t="e">
        <f t="shared" ca="1" si="48"/>
        <v>#N/A</v>
      </c>
      <c r="F33" s="600"/>
    </row>
    <row r="34" spans="1:6" x14ac:dyDescent="0.25">
      <c r="A34" s="600" t="s">
        <v>920</v>
      </c>
      <c r="B34" s="600" t="e">
        <f t="shared" ca="1" si="49"/>
        <v>#N/A</v>
      </c>
      <c r="D34" s="600" t="s">
        <v>911</v>
      </c>
      <c r="E34" s="600" t="e">
        <f t="shared" ca="1" si="48"/>
        <v>#N/A</v>
      </c>
      <c r="F34" s="600"/>
    </row>
    <row r="35" spans="1:6" x14ac:dyDescent="0.25">
      <c r="A35" s="600" t="s">
        <v>921</v>
      </c>
      <c r="B35" s="600" t="e">
        <f t="shared" ca="1" si="49"/>
        <v>#N/A</v>
      </c>
      <c r="D35" s="600" t="s">
        <v>914</v>
      </c>
      <c r="E35" s="600" t="str">
        <f t="shared" ca="1" si="48"/>
        <v>Press Feed</v>
      </c>
      <c r="F35" s="600"/>
    </row>
    <row r="36" spans="1:6" x14ac:dyDescent="0.25">
      <c r="A36" s="600" t="s">
        <v>922</v>
      </c>
      <c r="B36" s="600" t="e">
        <f t="shared" ca="1" si="49"/>
        <v>#N/A</v>
      </c>
      <c r="D36" s="600" t="s">
        <v>923</v>
      </c>
      <c r="E36" s="600">
        <f t="shared" ca="1" si="48"/>
        <v>180</v>
      </c>
      <c r="F36" s="600"/>
    </row>
    <row r="37" spans="1:6" x14ac:dyDescent="0.25">
      <c r="A37" s="600" t="s">
        <v>928</v>
      </c>
      <c r="B37" s="600" t="e">
        <f t="shared" ca="1" si="49"/>
        <v>#N/A</v>
      </c>
      <c r="D37" s="600" t="s">
        <v>924</v>
      </c>
      <c r="E37" s="600">
        <f t="shared" ca="1" si="48"/>
        <v>240</v>
      </c>
      <c r="F37" s="600"/>
    </row>
    <row r="38" spans="1:6" x14ac:dyDescent="0.25">
      <c r="A38" s="600" t="s">
        <v>939</v>
      </c>
      <c r="B38" s="600" t="e">
        <f t="shared" ca="1" si="49"/>
        <v>#N/A</v>
      </c>
      <c r="D38" s="600" t="s">
        <v>925</v>
      </c>
      <c r="E38" s="600" t="e">
        <f t="shared" ca="1" si="48"/>
        <v>#N/A</v>
      </c>
      <c r="F38" s="600"/>
    </row>
    <row r="39" spans="1:6" x14ac:dyDescent="0.25">
      <c r="A39" s="600" t="s">
        <v>947</v>
      </c>
      <c r="B39" s="600" t="e">
        <f t="shared" ca="1" si="49"/>
        <v>#N/A</v>
      </c>
      <c r="D39" s="600" t="s">
        <v>926</v>
      </c>
      <c r="E39" s="600">
        <f t="shared" ca="1" si="48"/>
        <v>4</v>
      </c>
      <c r="F39" s="600"/>
    </row>
    <row r="40" spans="1:6" x14ac:dyDescent="0.25">
      <c r="A40" s="600" t="s">
        <v>948</v>
      </c>
      <c r="B40" s="600" t="e">
        <f t="shared" ca="1" si="49"/>
        <v>#N/A</v>
      </c>
      <c r="D40" s="600" t="s">
        <v>927</v>
      </c>
      <c r="E40" s="600" t="e">
        <f t="shared" ca="1" si="48"/>
        <v>#N/A</v>
      </c>
      <c r="F40" s="600"/>
    </row>
    <row r="41" spans="1:6" x14ac:dyDescent="0.25">
      <c r="A41" s="600"/>
      <c r="B41" s="600"/>
      <c r="D41" s="600" t="s">
        <v>466</v>
      </c>
      <c r="E41" s="600" t="e">
        <f t="shared" ca="1" si="48"/>
        <v>#N/A</v>
      </c>
      <c r="F41" s="600"/>
    </row>
    <row r="42" spans="1:6" x14ac:dyDescent="0.25">
      <c r="D42" s="600" t="s">
        <v>906</v>
      </c>
      <c r="E42" s="600" t="str">
        <f t="shared" ca="1" si="48"/>
        <v>HS Steel</v>
      </c>
      <c r="F42" s="600"/>
    </row>
    <row r="43" spans="1:6" x14ac:dyDescent="0.25">
      <c r="D43" s="600" t="s">
        <v>929</v>
      </c>
      <c r="E43" s="600">
        <f t="shared" ca="1" si="48"/>
        <v>4</v>
      </c>
      <c r="F43" s="600"/>
    </row>
    <row r="44" spans="1:6" x14ac:dyDescent="0.25">
      <c r="D44" s="600" t="s">
        <v>930</v>
      </c>
      <c r="E44" s="600" t="e">
        <f t="shared" ca="1" si="48"/>
        <v>#N/A</v>
      </c>
      <c r="F44" s="600"/>
    </row>
    <row r="45" spans="1:6" x14ac:dyDescent="0.25">
      <c r="D45" s="600" t="s">
        <v>931</v>
      </c>
      <c r="E45" s="600">
        <f t="shared" ca="1" si="48"/>
        <v>0</v>
      </c>
      <c r="F45" s="600"/>
    </row>
    <row r="46" spans="1:6" x14ac:dyDescent="0.25">
      <c r="D46" s="600" t="s">
        <v>934</v>
      </c>
      <c r="E46" s="600" t="e">
        <f t="shared" ca="1" si="48"/>
        <v>#N/A</v>
      </c>
      <c r="F46" s="600"/>
    </row>
    <row r="47" spans="1:6" x14ac:dyDescent="0.25">
      <c r="D47" s="600" t="s">
        <v>935</v>
      </c>
      <c r="E47" s="600" t="e">
        <f t="shared" ca="1" si="48"/>
        <v>#N/A</v>
      </c>
      <c r="F47" s="600"/>
    </row>
    <row r="48" spans="1:6" x14ac:dyDescent="0.25">
      <c r="D48" s="600" t="s">
        <v>936</v>
      </c>
      <c r="E48" s="600" t="e">
        <f t="shared" ca="1" si="48"/>
        <v>#N/A</v>
      </c>
      <c r="F48" s="600"/>
    </row>
    <row r="49" spans="4:6" x14ac:dyDescent="0.25">
      <c r="D49" s="600" t="s">
        <v>937</v>
      </c>
      <c r="E49" s="600" t="e">
        <f t="shared" ca="1" si="48"/>
        <v>#N/A</v>
      </c>
      <c r="F49" s="600"/>
    </row>
    <row r="50" spans="4:6" x14ac:dyDescent="0.25">
      <c r="D50" s="600" t="s">
        <v>103</v>
      </c>
      <c r="E50" s="600" t="e">
        <f t="shared" ca="1" si="48"/>
        <v>#N/A</v>
      </c>
      <c r="F50" s="600"/>
    </row>
    <row r="51" spans="4:6" x14ac:dyDescent="0.25">
      <c r="D51" s="600" t="s">
        <v>938</v>
      </c>
      <c r="E51" s="600" t="e">
        <f t="shared" ca="1" si="48"/>
        <v>#N/A</v>
      </c>
      <c r="F51" s="600"/>
    </row>
    <row r="52" spans="4:6" x14ac:dyDescent="0.25">
      <c r="D52" s="600" t="s">
        <v>940</v>
      </c>
      <c r="E52" s="600" t="e">
        <f t="shared" ca="1" si="48"/>
        <v>#N/A</v>
      </c>
      <c r="F52" s="600"/>
    </row>
    <row r="53" spans="4:6" x14ac:dyDescent="0.25">
      <c r="D53" s="600" t="s">
        <v>941</v>
      </c>
      <c r="E53" s="600" t="e">
        <f t="shared" ca="1" si="48"/>
        <v>#N/A</v>
      </c>
      <c r="F53" s="600"/>
    </row>
    <row r="54" spans="4:6" x14ac:dyDescent="0.25">
      <c r="D54" s="600" t="s">
        <v>942</v>
      </c>
      <c r="E54" s="600" t="str">
        <f t="shared" ca="1" si="48"/>
        <v>Y</v>
      </c>
      <c r="F54" s="600"/>
    </row>
    <row r="55" spans="4:6" x14ac:dyDescent="0.25">
      <c r="D55" s="600" t="s">
        <v>517</v>
      </c>
      <c r="E55" s="600" t="e">
        <f t="shared" ca="1" si="48"/>
        <v>#N/A</v>
      </c>
      <c r="F55" s="600"/>
    </row>
    <row r="56" spans="4:6" x14ac:dyDescent="0.25">
      <c r="D56" s="600" t="s">
        <v>943</v>
      </c>
      <c r="E56" s="600" t="e">
        <f t="shared" ca="1" si="48"/>
        <v>#N/A</v>
      </c>
      <c r="F56" s="600"/>
    </row>
    <row r="57" spans="4:6" x14ac:dyDescent="0.25">
      <c r="D57" s="600" t="s">
        <v>944</v>
      </c>
      <c r="E57" s="600" t="e">
        <f t="shared" ca="1" si="48"/>
        <v>#N/A</v>
      </c>
      <c r="F57" s="600"/>
    </row>
    <row r="58" spans="4:6" x14ac:dyDescent="0.25">
      <c r="D58" s="600" t="s">
        <v>1012</v>
      </c>
      <c r="E58" s="600">
        <f t="shared" ca="1" si="48"/>
        <v>5</v>
      </c>
      <c r="F58" s="600"/>
    </row>
    <row r="59" spans="4:6" x14ac:dyDescent="0.25">
      <c r="D59" s="600" t="s">
        <v>1013</v>
      </c>
      <c r="E59" s="600">
        <f t="shared" ca="1" si="48"/>
        <v>2</v>
      </c>
      <c r="F59" s="600"/>
    </row>
    <row r="60" spans="4:6" x14ac:dyDescent="0.25">
      <c r="D60" s="600" t="s">
        <v>945</v>
      </c>
      <c r="E60" s="600">
        <f t="shared" ca="1" si="48"/>
        <v>42</v>
      </c>
      <c r="F60" s="600"/>
    </row>
    <row r="61" spans="4:6" x14ac:dyDescent="0.25">
      <c r="D61" s="600" t="s">
        <v>946</v>
      </c>
      <c r="E61" s="600">
        <f t="shared" ca="1" si="48"/>
        <v>504</v>
      </c>
      <c r="F61" s="600"/>
    </row>
    <row r="62" spans="4:6" x14ac:dyDescent="0.25">
      <c r="D62" s="600" t="s">
        <v>1014</v>
      </c>
      <c r="E62" s="600" t="e">
        <f t="shared" ca="1" si="48"/>
        <v>#N/A</v>
      </c>
      <c r="F62" s="600"/>
    </row>
    <row r="63" spans="4:6" x14ac:dyDescent="0.25">
      <c r="D63" s="600" t="s">
        <v>949</v>
      </c>
      <c r="E63" s="600" t="e">
        <f t="shared" ca="1" si="48"/>
        <v>#N/A</v>
      </c>
      <c r="F63" s="600"/>
    </row>
    <row r="64" spans="4:6" x14ac:dyDescent="0.25">
      <c r="D64" s="600" t="s">
        <v>907</v>
      </c>
      <c r="E64" s="600">
        <f t="shared" ca="1" si="48"/>
        <v>0</v>
      </c>
      <c r="F64" s="600"/>
    </row>
    <row r="65" spans="4:6" x14ac:dyDescent="0.25">
      <c r="D65" s="600" t="s">
        <v>980</v>
      </c>
      <c r="E65" s="600">
        <f t="shared" ca="1" si="48"/>
        <v>16</v>
      </c>
      <c r="F65" s="600"/>
    </row>
    <row r="66" spans="4:6" x14ac:dyDescent="0.25">
      <c r="D66" s="600" t="s">
        <v>982</v>
      </c>
      <c r="E66" s="600">
        <f t="shared" ca="1" si="48"/>
        <v>0.3</v>
      </c>
      <c r="F66" s="600"/>
    </row>
    <row r="67" spans="4:6" x14ac:dyDescent="0.25">
      <c r="D67" s="600" t="s">
        <v>984</v>
      </c>
      <c r="E67" s="600">
        <f t="shared" ca="1" si="48"/>
        <v>24</v>
      </c>
      <c r="F67" s="600"/>
    </row>
    <row r="68" spans="4:6" x14ac:dyDescent="0.25">
      <c r="D68" s="600" t="s">
        <v>983</v>
      </c>
      <c r="E68" s="600">
        <f t="shared" ca="1" si="48"/>
        <v>0.28299999999999997</v>
      </c>
      <c r="F68" s="600"/>
    </row>
    <row r="69" spans="4:6" x14ac:dyDescent="0.25">
      <c r="D69" s="600" t="s">
        <v>981</v>
      </c>
      <c r="E69" s="600">
        <f t="shared" ca="1" si="48"/>
        <v>339.29200658769764</v>
      </c>
      <c r="F69" s="600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97E41F-5CB7-4000-873E-0F95E188EFB3}">
  <sheetPr codeName="Sheet28">
    <tabColor theme="1"/>
    <pageSetUpPr fitToPage="1"/>
  </sheetPr>
  <dimension ref="A1:X181"/>
  <sheetViews>
    <sheetView zoomScale="90" zoomScaleNormal="90" workbookViewId="0">
      <selection activeCell="B10" sqref="B10"/>
    </sheetView>
  </sheetViews>
  <sheetFormatPr defaultRowHeight="15" x14ac:dyDescent="0.25"/>
  <cols>
    <col min="1" max="1" width="15.28515625" customWidth="1"/>
    <col min="2" max="2" width="8.140625" customWidth="1"/>
    <col min="3" max="3" width="9.42578125" customWidth="1"/>
    <col min="4" max="4" width="20.5703125" customWidth="1"/>
    <col min="5" max="5" width="7.85546875" customWidth="1"/>
    <col min="6" max="6" width="11.85546875" customWidth="1"/>
    <col min="7" max="7" width="13.42578125" customWidth="1"/>
    <col min="8" max="8" width="7.28515625" customWidth="1"/>
    <col min="9" max="9" width="9.5703125" style="201" customWidth="1"/>
    <col min="10" max="10" width="8.85546875" customWidth="1"/>
    <col min="11" max="11" width="8.28515625" customWidth="1"/>
    <col min="12" max="12" width="12.7109375" customWidth="1"/>
    <col min="13" max="14" width="12.7109375" hidden="1" customWidth="1"/>
    <col min="15" max="15" width="20.7109375" customWidth="1"/>
    <col min="16" max="16" width="14.85546875" customWidth="1"/>
    <col min="17" max="17" width="12.7109375" hidden="1" customWidth="1"/>
    <col min="18" max="18" width="20.7109375" customWidth="1"/>
    <col min="19" max="19" width="15.5703125" customWidth="1"/>
    <col min="20" max="20" width="15.5703125" hidden="1" customWidth="1"/>
    <col min="21" max="21" width="13.140625" customWidth="1"/>
    <col min="22" max="22" width="5.42578125" customWidth="1"/>
  </cols>
  <sheetData>
    <row r="1" spans="1:22" ht="21.75" thickBot="1" x14ac:dyDescent="0.4">
      <c r="E1" s="200" t="s">
        <v>0</v>
      </c>
      <c r="L1" s="2"/>
      <c r="M1" s="1050" t="s">
        <v>432</v>
      </c>
      <c r="N1" s="1050"/>
      <c r="O1" s="2"/>
      <c r="P1" s="2"/>
      <c r="Q1" s="202"/>
      <c r="R1" s="2"/>
      <c r="S1" s="2"/>
      <c r="T1" s="2"/>
    </row>
    <row r="2" spans="1:22" ht="15.75" customHeight="1" x14ac:dyDescent="0.25">
      <c r="E2" s="64" t="s">
        <v>761</v>
      </c>
      <c r="L2" s="418" t="s">
        <v>256</v>
      </c>
      <c r="M2" s="203" t="s">
        <v>434</v>
      </c>
      <c r="N2" s="203" t="s">
        <v>435</v>
      </c>
      <c r="O2" s="203" t="str">
        <f>IF(application="Cut to Length", "Blanks/Min (" &amp; $E$19 &amp; " " &amp; $F$19 &amp; ")","SPM @ " &amp; $E$19 &amp; " " &amp; $F$19)</f>
        <v>SPM @ 180 Deg.</v>
      </c>
      <c r="P2" s="203" t="s">
        <v>1112</v>
      </c>
      <c r="Q2" s="203" t="s">
        <v>637</v>
      </c>
      <c r="R2" s="203" t="str">
        <f>IF(application="Cut to Length", "Blanks/Min (" &amp; $E$20 &amp; " " &amp; $F$20 &amp; ")","SPM @ " &amp; $E$20 &amp; " " &amp; $F$20)</f>
        <v>SPM @ 240 Deg.</v>
      </c>
      <c r="S2" s="204" t="s">
        <v>1112</v>
      </c>
      <c r="T2" s="617" t="s">
        <v>637</v>
      </c>
      <c r="U2" s="541" t="s">
        <v>903</v>
      </c>
      <c r="V2" t="e">
        <f ca="1">IF(AND(MPEAK&gt;PEAKTQ,MRMS&gt;RMSTQ,MRMS&gt;RMSTQ_2,ACCTQ&lt;MPEAK,width&gt;=MatWidth),"OK","")</f>
        <v>#N/A</v>
      </c>
    </row>
    <row r="3" spans="1:22" ht="15.75" customHeight="1" x14ac:dyDescent="0.25">
      <c r="E3" s="64"/>
      <c r="L3" s="613" t="e">
        <f ca="1">INDIRECT("'" &amp; $A$101 &amp; "'!B3")</f>
        <v>#N/A</v>
      </c>
      <c r="M3" s="53" t="e">
        <f ca="1">INDIRECT("'" &amp; $A$101 &amp; "'!B4")</f>
        <v>#N/A</v>
      </c>
      <c r="N3" s="53" t="e">
        <f ca="1">INDIRECT("'" &amp; $A$101 &amp; "'!L4")</f>
        <v>#N/A</v>
      </c>
      <c r="O3" s="53" t="e">
        <f ca="1">INDIRECT("'" &amp; $A$101 &amp; "'!B10")</f>
        <v>#N/A</v>
      </c>
      <c r="P3" s="53" t="e">
        <f ca="1">($L3*$O3)/12</f>
        <v>#N/A</v>
      </c>
      <c r="Q3" s="55" t="e">
        <f ca="1">INDIRECT("'" &amp; $A$101 &amp; "'!B8")</f>
        <v>#N/A</v>
      </c>
      <c r="R3" s="53" t="e">
        <f ca="1">INDIRECT("'" &amp; $A$101 &amp; "'!L10")</f>
        <v>#N/A</v>
      </c>
      <c r="S3" s="619" t="e">
        <f ca="1">($L3*$R3)/12</f>
        <v>#N/A</v>
      </c>
      <c r="T3" s="580" t="e">
        <f ca="1">INDIRECT("'" &amp; $A$101 &amp; "'!L8")</f>
        <v>#N/A</v>
      </c>
      <c r="U3" s="4"/>
    </row>
    <row r="4" spans="1:22" ht="15.75" customHeight="1" x14ac:dyDescent="0.25">
      <c r="A4" s="1" t="s">
        <v>1</v>
      </c>
      <c r="B4" s="956" t="str">
        <f>Customer</f>
        <v>ULTRATECH TOOL&amp; DESIGN, INC.</v>
      </c>
      <c r="C4" s="953"/>
      <c r="D4" s="954"/>
      <c r="E4" s="64"/>
      <c r="L4" s="208">
        <f ca="1">INDIRECT("'" &amp; $A$101 &amp; "'!C3")</f>
        <v>4</v>
      </c>
      <c r="M4" s="53" t="e">
        <f ca="1">INDIRECT("'" &amp; $A$101 &amp; "'!C4")</f>
        <v>#N/A</v>
      </c>
      <c r="N4" s="53" t="e">
        <f ca="1">INDIRECT("'" &amp; $A$101 &amp; "'!M4")</f>
        <v>#N/A</v>
      </c>
      <c r="O4" s="53" t="e">
        <f ca="1">INDIRECT("'" &amp; $A$101 &amp; "'!C10")</f>
        <v>#N/A</v>
      </c>
      <c r="P4" s="53" t="e">
        <f t="shared" ref="P4:P26" ca="1" si="0">($L4*$O4)/12</f>
        <v>#N/A</v>
      </c>
      <c r="Q4" s="55" t="e">
        <f ca="1">INDIRECT("'" &amp; $A$101 &amp; "'!C8")</f>
        <v>#N/A</v>
      </c>
      <c r="R4" s="53" t="e">
        <f ca="1">INDIRECT("'" &amp; $A$101 &amp; "'!M10")</f>
        <v>#N/A</v>
      </c>
      <c r="S4" s="619" t="e">
        <f t="shared" ref="S4:S26" ca="1" si="1">($L4*$R4)/12</f>
        <v>#N/A</v>
      </c>
      <c r="T4" s="580" t="e">
        <f ca="1">INDIRECT("'" &amp; $A$101 &amp; "'!M8")</f>
        <v>#N/A</v>
      </c>
      <c r="U4" s="4"/>
    </row>
    <row r="5" spans="1:22" ht="15.75" customHeight="1" x14ac:dyDescent="0.25">
      <c r="A5" s="1" t="s">
        <v>2</v>
      </c>
      <c r="B5" s="952">
        <f>CalcDate</f>
        <v>0</v>
      </c>
      <c r="C5" s="1052"/>
      <c r="D5" s="1053"/>
      <c r="L5" s="208">
        <f ca="1">INDIRECT("'" &amp; $A$101 &amp; "'!D3")</f>
        <v>8</v>
      </c>
      <c r="M5" s="53" t="e">
        <f ca="1">INDIRECT("'" &amp; $A$101 &amp; "'!D4")</f>
        <v>#N/A</v>
      </c>
      <c r="N5" s="53" t="e">
        <f ca="1">INDIRECT("'" &amp; $A$101 &amp; "'!N4")</f>
        <v>#N/A</v>
      </c>
      <c r="O5" s="53" t="e">
        <f ca="1">INDIRECT("'" &amp; $A$101 &amp; "'!D10")</f>
        <v>#N/A</v>
      </c>
      <c r="P5" s="53" t="e">
        <f t="shared" ca="1" si="0"/>
        <v>#N/A</v>
      </c>
      <c r="Q5" s="55" t="e">
        <f ca="1">INDIRECT("'" &amp; $A$101 &amp; "'!D8")</f>
        <v>#N/A</v>
      </c>
      <c r="R5" s="53" t="e">
        <f ca="1">INDIRECT("'" &amp; $A$101 &amp; "'!N10")</f>
        <v>#N/A</v>
      </c>
      <c r="S5" s="619" t="e">
        <f t="shared" ca="1" si="1"/>
        <v>#N/A</v>
      </c>
      <c r="T5" s="580" t="e">
        <f ca="1">INDIRECT("'" &amp; $A$101 &amp; "'!N8")</f>
        <v>#N/A</v>
      </c>
      <c r="U5" s="4"/>
    </row>
    <row r="6" spans="1:22" ht="15.75" customHeight="1" x14ac:dyDescent="0.25">
      <c r="A6" s="1" t="s">
        <v>131</v>
      </c>
      <c r="B6" s="956">
        <f>Reference</f>
        <v>0</v>
      </c>
      <c r="C6" s="953"/>
      <c r="D6" s="954"/>
      <c r="L6" s="208">
        <f ca="1">INDIRECT("'" &amp; $A$101 &amp; "'!E3")</f>
        <v>12</v>
      </c>
      <c r="M6" s="53" t="e">
        <f ca="1">INDIRECT("'" &amp; $A$101 &amp; "'!E4")</f>
        <v>#N/A</v>
      </c>
      <c r="N6" s="53" t="e">
        <f ca="1">INDIRECT("'" &amp; $A$101 &amp; "'!O4")</f>
        <v>#N/A</v>
      </c>
      <c r="O6" s="53" t="e">
        <f ca="1">INDIRECT("'" &amp; $A$101 &amp; "'!E10")</f>
        <v>#N/A</v>
      </c>
      <c r="P6" s="53" t="e">
        <f t="shared" ca="1" si="0"/>
        <v>#N/A</v>
      </c>
      <c r="Q6" s="55" t="e">
        <f ca="1">INDIRECT("'" &amp; $A$101 &amp; "'!E8")</f>
        <v>#N/A</v>
      </c>
      <c r="R6" s="53" t="e">
        <f ca="1">INDIRECT("'" &amp; $A$101 &amp; "'!O10")</f>
        <v>#N/A</v>
      </c>
      <c r="S6" s="619" t="e">
        <f t="shared" ca="1" si="1"/>
        <v>#N/A</v>
      </c>
      <c r="T6" s="580" t="e">
        <f ca="1">INDIRECT("'" &amp; $A$101 &amp; "'!O8")</f>
        <v>#N/A</v>
      </c>
      <c r="U6" s="4"/>
    </row>
    <row r="7" spans="1:22" ht="15.75" customHeight="1" x14ac:dyDescent="0.25">
      <c r="L7" s="208">
        <f ca="1">INDIRECT("'" &amp; $A$101 &amp; "'!F3")</f>
        <v>16</v>
      </c>
      <c r="M7" s="53" t="e">
        <f ca="1">INDIRECT("'" &amp; $A$101 &amp; "'!F4")</f>
        <v>#N/A</v>
      </c>
      <c r="N7" s="53" t="e">
        <f ca="1">INDIRECT("'" &amp; $A$101 &amp; "'!P4")</f>
        <v>#N/A</v>
      </c>
      <c r="O7" s="53" t="e">
        <f ca="1">INDIRECT("'" &amp; $A$101 &amp; "'!F10")</f>
        <v>#N/A</v>
      </c>
      <c r="P7" s="53" t="e">
        <f t="shared" ca="1" si="0"/>
        <v>#N/A</v>
      </c>
      <c r="Q7" s="55" t="e">
        <f ca="1">INDIRECT("'" &amp; $A$101 &amp; "'!F8")</f>
        <v>#N/A</v>
      </c>
      <c r="R7" s="53" t="e">
        <f ca="1">INDIRECT("'" &amp; $A$101 &amp; "'!P10")</f>
        <v>#N/A</v>
      </c>
      <c r="S7" s="619" t="e">
        <f t="shared" ca="1" si="1"/>
        <v>#N/A</v>
      </c>
      <c r="T7" s="580" t="e">
        <f ca="1">INDIRECT("'" &amp; $A$101 &amp; "'!P8")</f>
        <v>#N/A</v>
      </c>
      <c r="U7" s="4"/>
    </row>
    <row r="8" spans="1:22" ht="15.75" customHeight="1" x14ac:dyDescent="0.25">
      <c r="A8" s="18" t="s">
        <v>438</v>
      </c>
      <c r="B8" s="27" t="str">
        <f>SelectedApplication</f>
        <v>Press Feed</v>
      </c>
      <c r="L8" s="208">
        <f ca="1">INDIRECT("'" &amp; $A$101 &amp; "'!G3")</f>
        <v>20</v>
      </c>
      <c r="M8" s="53" t="e">
        <f ca="1">INDIRECT("'" &amp; $A$101 &amp; "'!G4")</f>
        <v>#N/A</v>
      </c>
      <c r="N8" s="53" t="e">
        <f ca="1">INDIRECT("'" &amp; $A$101 &amp; "'!Q4")</f>
        <v>#N/A</v>
      </c>
      <c r="O8" s="53" t="e">
        <f ca="1">INDIRECT("'" &amp; $A$101 &amp; "'!G10")</f>
        <v>#N/A</v>
      </c>
      <c r="P8" s="53" t="e">
        <f t="shared" ca="1" si="0"/>
        <v>#N/A</v>
      </c>
      <c r="Q8" s="55" t="e">
        <f ca="1">INDIRECT("'" &amp; $A$101 &amp; "'!G8")</f>
        <v>#N/A</v>
      </c>
      <c r="R8" s="53" t="e">
        <f ca="1">INDIRECT("'" &amp; $A$101 &amp; "'!Q10")</f>
        <v>#N/A</v>
      </c>
      <c r="S8" s="619" t="e">
        <f t="shared" ca="1" si="1"/>
        <v>#N/A</v>
      </c>
      <c r="T8" s="580" t="e">
        <f ca="1">INDIRECT("'" &amp; $A$101 &amp; "'!Q8")</f>
        <v>#N/A</v>
      </c>
      <c r="U8" s="4"/>
    </row>
    <row r="9" spans="1:22" ht="15.75" customHeight="1" x14ac:dyDescent="0.25">
      <c r="A9" s="18" t="s">
        <v>160</v>
      </c>
      <c r="B9" s="1054"/>
      <c r="C9" s="1054"/>
      <c r="E9" s="210" t="s">
        <v>441</v>
      </c>
      <c r="F9" s="211" t="e">
        <f>VLOOKUP(model,LookupABFeed,14,FALSE)</f>
        <v>#N/A</v>
      </c>
      <c r="L9" s="208">
        <f ca="1">INDIRECT("'" &amp; $A$101 &amp; "'!H3")</f>
        <v>24</v>
      </c>
      <c r="M9" s="53" t="e">
        <f ca="1">INDIRECT("'" &amp; $A$101 &amp; "'!H4")</f>
        <v>#N/A</v>
      </c>
      <c r="N9" s="53" t="e">
        <f ca="1">INDIRECT("'" &amp; $A$101 &amp; "'!R4")</f>
        <v>#N/A</v>
      </c>
      <c r="O9" s="53" t="e">
        <f ca="1">INDIRECT("'" &amp; $A$101 &amp; "'!H10")</f>
        <v>#N/A</v>
      </c>
      <c r="P9" s="53" t="e">
        <f t="shared" ca="1" si="0"/>
        <v>#N/A</v>
      </c>
      <c r="Q9" s="55" t="e">
        <f ca="1">INDIRECT("'" &amp; $A$101 &amp; "'!H8")</f>
        <v>#N/A</v>
      </c>
      <c r="R9" s="53" t="e">
        <f ca="1">INDIRECT("'" &amp; $A$101 &amp; "'!R10")</f>
        <v>#N/A</v>
      </c>
      <c r="S9" s="619" t="e">
        <f t="shared" ca="1" si="1"/>
        <v>#N/A</v>
      </c>
      <c r="T9" s="580" t="e">
        <f ca="1">INDIRECT("'" &amp; $A$101 &amp; "'!R8")</f>
        <v>#N/A</v>
      </c>
      <c r="U9" s="4"/>
    </row>
    <row r="10" spans="1:22" ht="15.75" customHeight="1" x14ac:dyDescent="0.25">
      <c r="A10" s="18" t="s">
        <v>442</v>
      </c>
      <c r="B10" s="711"/>
      <c r="E10" s="210" t="s">
        <v>443</v>
      </c>
      <c r="F10" s="211" t="e">
        <f>VLOOKUP(model,LookupABFeed,15,FALSE)</f>
        <v>#N/A</v>
      </c>
      <c r="L10" s="208">
        <f ca="1">INDIRECT("'" &amp; $A$101 &amp; "'!I3")</f>
        <v>28</v>
      </c>
      <c r="M10" s="53" t="e">
        <f ca="1">INDIRECT("'" &amp; $A$101 &amp; "'!I4")</f>
        <v>#N/A</v>
      </c>
      <c r="N10" s="53" t="e">
        <f ca="1">INDIRECT("'" &amp; $A$101 &amp; "'!S4")</f>
        <v>#N/A</v>
      </c>
      <c r="O10" s="53" t="e">
        <f ca="1">INDIRECT("'" &amp; $A$101 &amp; "'!I10")</f>
        <v>#N/A</v>
      </c>
      <c r="P10" s="53" t="e">
        <f t="shared" ca="1" si="0"/>
        <v>#N/A</v>
      </c>
      <c r="Q10" s="55" t="e">
        <f ca="1">INDIRECT("'" &amp; $A$101 &amp; "'!I8")</f>
        <v>#N/A</v>
      </c>
      <c r="R10" s="53" t="e">
        <f ca="1">INDIRECT("'" &amp; $A$101 &amp; "'!S10")</f>
        <v>#N/A</v>
      </c>
      <c r="S10" s="619" t="e">
        <f t="shared" ca="1" si="1"/>
        <v>#N/A</v>
      </c>
      <c r="T10" s="580" t="e">
        <f ca="1">INDIRECT("'" &amp; $A$101 &amp; "'!S8")</f>
        <v>#N/A</v>
      </c>
      <c r="U10" s="4"/>
    </row>
    <row r="11" spans="1:22" ht="15.75" customHeight="1" x14ac:dyDescent="0.25">
      <c r="A11" s="18" t="s">
        <v>444</v>
      </c>
      <c r="B11" s="698" t="s">
        <v>445</v>
      </c>
      <c r="C11" s="419"/>
      <c r="L11" s="208">
        <f ca="1">INDIRECT("'" &amp; $A$101 &amp; "'!B12")</f>
        <v>32</v>
      </c>
      <c r="M11" s="53" t="e">
        <f ca="1">INDIRECT("'" &amp; $A$101 &amp; "'!B13")</f>
        <v>#N/A</v>
      </c>
      <c r="N11" s="53" t="e">
        <f ca="1">INDIRECT("'" &amp; $A$101 &amp; "'!L13")</f>
        <v>#N/A</v>
      </c>
      <c r="O11" s="53" t="e">
        <f ca="1">INDIRECT("'" &amp; $A$101 &amp; "'!B19")</f>
        <v>#N/A</v>
      </c>
      <c r="P11" s="53" t="e">
        <f t="shared" ca="1" si="0"/>
        <v>#N/A</v>
      </c>
      <c r="Q11" s="55" t="e">
        <f ca="1">INDIRECT("'" &amp; $A$101 &amp; "'!B17")</f>
        <v>#N/A</v>
      </c>
      <c r="R11" s="53" t="e">
        <f ca="1">INDIRECT("'" &amp; $A$101 &amp; "'!L19")</f>
        <v>#N/A</v>
      </c>
      <c r="S11" s="619" t="e">
        <f t="shared" ca="1" si="1"/>
        <v>#N/A</v>
      </c>
      <c r="T11" s="580" t="e">
        <f ca="1">INDIRECT("'" &amp; $A$101 &amp; "'!L17")</f>
        <v>#N/A</v>
      </c>
      <c r="U11" s="4"/>
    </row>
    <row r="12" spans="1:22" ht="15.75" customHeight="1" x14ac:dyDescent="0.25">
      <c r="A12" s="18" t="s">
        <v>446</v>
      </c>
      <c r="B12" s="698" t="s">
        <v>445</v>
      </c>
      <c r="C12" s="419"/>
      <c r="D12" s="420" t="s">
        <v>63</v>
      </c>
      <c r="E12" s="904" t="str">
        <f>Material_1</f>
        <v>HS Steel</v>
      </c>
      <c r="F12" s="904"/>
      <c r="H12" s="421" t="s">
        <v>763</v>
      </c>
      <c r="L12" s="208">
        <f ca="1">INDIRECT("'" &amp; $A$101 &amp; "'!C12")</f>
        <v>36</v>
      </c>
      <c r="M12" s="53" t="e">
        <f ca="1">INDIRECT("'" &amp; $A$101 &amp; "'!C13")</f>
        <v>#N/A</v>
      </c>
      <c r="N12" s="53" t="e">
        <f ca="1">INDIRECT("'" &amp; $A$101 &amp; "'!M13")</f>
        <v>#N/A</v>
      </c>
      <c r="O12" s="53" t="e">
        <f ca="1">INDIRECT("'" &amp; $A$101 &amp; "'!C19")</f>
        <v>#N/A</v>
      </c>
      <c r="P12" s="53" t="e">
        <f t="shared" ca="1" si="0"/>
        <v>#N/A</v>
      </c>
      <c r="Q12" s="55" t="e">
        <f ca="1">INDIRECT("'" &amp; $A$101 &amp; "'!C17")</f>
        <v>#N/A</v>
      </c>
      <c r="R12" s="53" t="e">
        <f ca="1">INDIRECT("'" &amp; $A$101 &amp; "'!M19")</f>
        <v>#N/A</v>
      </c>
      <c r="S12" s="619" t="e">
        <f t="shared" ca="1" si="1"/>
        <v>#N/A</v>
      </c>
      <c r="T12" s="580" t="e">
        <f ca="1">INDIRECT("'" &amp; $A$101 &amp; "'!M17")</f>
        <v>#N/A</v>
      </c>
      <c r="U12" s="4"/>
    </row>
    <row r="13" spans="1:22" ht="15.75" customHeight="1" x14ac:dyDescent="0.25">
      <c r="A13" s="218"/>
      <c r="B13" s="218"/>
      <c r="C13" s="218"/>
      <c r="H13" s="422" t="e">
        <f>IF(F10="AB 2094-BC04 + 2094-M03 w/ Int SHUNT","2098-xxx-HV100 + 2090_SR040-09",IF(F10="AB 2095 BC04 + 2094-M03 + 2094-BSP2 + 1394 SR9AF","2092-xxx-HV220 + M3575R-H27B0C",IF(F10="AB 2094-BC07 + 2094-M05 + 1394-SR36A","2098-xxx-HV220 + M3575R-H33BFC", IF(F10="AB 2094-BC07 + 2094-BM05 + 1394-SR36A", "2098-xxx-HV220 + 3575SR-H33BFC", IF(F10="AB 2094-BC07 + 2094 M05 + 2094-BSP2 + 1394 SR36A", "2098-xxx-HV220 + M3575R-H33BFC", "*")))))</f>
        <v>#N/A</v>
      </c>
      <c r="L13" s="208">
        <f ca="1">INDIRECT("'" &amp; $A$101 &amp; "'!D12")</f>
        <v>40</v>
      </c>
      <c r="M13" s="53" t="e">
        <f ca="1">INDIRECT("'" &amp; $A$101 &amp; "'!D13")</f>
        <v>#N/A</v>
      </c>
      <c r="N13" s="53" t="e">
        <f ca="1">INDIRECT("'" &amp; $A$101 &amp; "'!N13")</f>
        <v>#N/A</v>
      </c>
      <c r="O13" s="53" t="e">
        <f ca="1">INDIRECT("'" &amp; $A$101 &amp; "'!D19")</f>
        <v>#N/A</v>
      </c>
      <c r="P13" s="53" t="e">
        <f t="shared" ca="1" si="0"/>
        <v>#N/A</v>
      </c>
      <c r="Q13" s="55" t="e">
        <f ca="1">INDIRECT("'" &amp; $A$101 &amp; "'!D17")</f>
        <v>#N/A</v>
      </c>
      <c r="R13" s="53" t="e">
        <f ca="1">INDIRECT("'" &amp; $A$101 &amp; "'!N19")</f>
        <v>#N/A</v>
      </c>
      <c r="S13" s="619" t="e">
        <f t="shared" ca="1" si="1"/>
        <v>#N/A</v>
      </c>
      <c r="T13" s="580" t="e">
        <f ca="1">INDIRECT("'" &amp; $A$101 &amp; "'!N17")</f>
        <v>#N/A</v>
      </c>
      <c r="U13" s="4"/>
    </row>
    <row r="14" spans="1:22" ht="15.75" customHeight="1" x14ac:dyDescent="0.25">
      <c r="A14" s="1040" t="s">
        <v>63</v>
      </c>
      <c r="B14" s="50" t="s">
        <v>447</v>
      </c>
      <c r="C14" s="423" t="s">
        <v>448</v>
      </c>
      <c r="D14" s="50" t="str">
        <f>IF(application="Press Feed","Press Bed Length", IF(application="Cut to Length", "Maximum Blank Length","Ln. FLT"))</f>
        <v>Press Bed Length</v>
      </c>
      <c r="E14" s="50" t="s">
        <v>449</v>
      </c>
      <c r="F14" s="50" t="s">
        <v>764</v>
      </c>
      <c r="H14" s="422" t="e">
        <f>IF(H13="AB 2094-BC04 + 2094-M03 w/ Int SHUNT","1394-AC-AM50 + 1394-SJT05 + 1394-SR10A",IF(F10="AB 2095 BC04 + 2094-M03 + 2094-BSP2 + 1394 SR9AF","1394C-AM50IH + 1394C-SJT05 + 1394-SR10A",IF(F10="AB 2094-BC07 + 2094-M05 + 1394-SR36A","1394C-AM75IH + 1394C-SJ22 + 1394-SR36AF",IF(F10="AB 2094-BC07 + 2094-BM05 + 1394-SR36A","1394C-AM75IH + 1394SJT10 + 1394 SR10A",IF(F10="AB 2094-BC07 + 2094 M05 + 2094-BSP2 + 1394 SR36A","1394C-AM75IH + 1394C-SJ22 + 1394-SR36A","*")))))</f>
        <v>#N/A</v>
      </c>
      <c r="L14" s="208">
        <f ca="1">INDIRECT("'" &amp; $A$101 &amp; "'!E12")</f>
        <v>44</v>
      </c>
      <c r="M14" s="53" t="e">
        <f ca="1">INDIRECT("'" &amp; $A$101 &amp; "'!E13")</f>
        <v>#N/A</v>
      </c>
      <c r="N14" s="53" t="e">
        <f ca="1">INDIRECT("'" &amp; $A$101 &amp; "'!O13")</f>
        <v>#N/A</v>
      </c>
      <c r="O14" s="53" t="e">
        <f ca="1">INDIRECT("'" &amp; $A$101 &amp; "'!E19")</f>
        <v>#N/A</v>
      </c>
      <c r="P14" s="53" t="e">
        <f t="shared" ca="1" si="0"/>
        <v>#N/A</v>
      </c>
      <c r="Q14" s="55" t="e">
        <f ca="1">INDIRECT("'" &amp; $A$101 &amp; "'!E17")</f>
        <v>#N/A</v>
      </c>
      <c r="R14" s="53" t="e">
        <f ca="1">INDIRECT("'" &amp; $A$101 &amp; "'!O19")</f>
        <v>#N/A</v>
      </c>
      <c r="S14" s="619" t="e">
        <f t="shared" ca="1" si="1"/>
        <v>#N/A</v>
      </c>
      <c r="T14" s="580" t="e">
        <f ca="1">INDIRECT("'" &amp; $A$101 &amp; "'!O17")</f>
        <v>#N/A</v>
      </c>
      <c r="U14" s="4"/>
    </row>
    <row r="15" spans="1:22" ht="15.75" customHeight="1" x14ac:dyDescent="0.25">
      <c r="A15" s="1041"/>
      <c r="B15" s="442">
        <f>CoilWidth_1</f>
        <v>18</v>
      </c>
      <c r="C15" s="214">
        <f>Thickness_1</f>
        <v>0.25</v>
      </c>
      <c r="D15" s="215">
        <v>48</v>
      </c>
      <c r="E15" s="216">
        <f>VLOOKUP(material,LookupMaterial,4,FALSE)</f>
        <v>0.28299999999999997</v>
      </c>
      <c r="F15" s="528">
        <f>IF(B11="Y",C15*360*PI()*2, C15*360*PI())</f>
        <v>565.48667764616278</v>
      </c>
      <c r="G15" s="212"/>
      <c r="L15" s="208">
        <f ca="1">INDIRECT("'" &amp; $A$101 &amp; "'!F12")</f>
        <v>48</v>
      </c>
      <c r="M15" s="53" t="e">
        <f ca="1">INDIRECT("'" &amp; $A$101 &amp; "'!F13")</f>
        <v>#N/A</v>
      </c>
      <c r="N15" s="53" t="e">
        <f ca="1">INDIRECT("'" &amp; $A$101 &amp; "'!P13")</f>
        <v>#N/A</v>
      </c>
      <c r="O15" s="53" t="e">
        <f ca="1">INDIRECT("'" &amp; $A$101 &amp; "'!F19")</f>
        <v>#N/A</v>
      </c>
      <c r="P15" s="53" t="e">
        <f t="shared" ca="1" si="0"/>
        <v>#N/A</v>
      </c>
      <c r="Q15" s="55" t="e">
        <f ca="1">INDIRECT("'" &amp; $A$101 &amp; "'!F17")</f>
        <v>#N/A</v>
      </c>
      <c r="R15" s="53" t="e">
        <f ca="1">INDIRECT("'" &amp; $A$101 &amp; "'!P19")</f>
        <v>#N/A</v>
      </c>
      <c r="S15" s="619" t="e">
        <f t="shared" ca="1" si="1"/>
        <v>#N/A</v>
      </c>
      <c r="T15" s="580" t="e">
        <f ca="1">INDIRECT("'" &amp; $A$101 &amp; "'!P17")</f>
        <v>#N/A</v>
      </c>
      <c r="U15" s="4"/>
    </row>
    <row r="16" spans="1:22" ht="15.75" customHeight="1" x14ac:dyDescent="0.25">
      <c r="B16" s="424"/>
      <c r="L16" s="208">
        <f ca="1">INDIRECT("'" &amp; $A$101 &amp; "'!G12")</f>
        <v>52</v>
      </c>
      <c r="M16" s="53" t="e">
        <f ca="1">INDIRECT("'" &amp; $A$101 &amp; "'!G13")</f>
        <v>#N/A</v>
      </c>
      <c r="N16" s="53" t="e">
        <f ca="1">INDIRECT("'" &amp; $A$101 &amp; "'!Q13")</f>
        <v>#N/A</v>
      </c>
      <c r="O16" s="53" t="e">
        <f ca="1">INDIRECT("'" &amp; $A$101 &amp; "'!G19")</f>
        <v>#N/A</v>
      </c>
      <c r="P16" s="53" t="e">
        <f t="shared" ca="1" si="0"/>
        <v>#N/A</v>
      </c>
      <c r="Q16" s="55" t="e">
        <f ca="1">INDIRECT("'" &amp; $A$101 &amp; "'!G17")</f>
        <v>#N/A</v>
      </c>
      <c r="R16" s="53" t="e">
        <f ca="1">INDIRECT("'" &amp; $A$101 &amp; "'!Q19")</f>
        <v>#N/A</v>
      </c>
      <c r="S16" s="619" t="e">
        <f t="shared" ca="1" si="1"/>
        <v>#N/A</v>
      </c>
      <c r="T16" s="580" t="e">
        <f ca="1">INDIRECT("'" &amp; $A$101 &amp; "'!Q17")</f>
        <v>#N/A</v>
      </c>
      <c r="U16" s="4"/>
    </row>
    <row r="17" spans="1:21" ht="15.75" customHeight="1" x14ac:dyDescent="0.25">
      <c r="A17" s="220" t="s">
        <v>765</v>
      </c>
      <c r="B17" s="582">
        <f>IF(SelectedStrUsed = "Yes", 'Str. Utility (1)'!fpm, $B$24)</f>
        <v>120</v>
      </c>
      <c r="C17" s="212" t="s">
        <v>452</v>
      </c>
      <c r="D17" s="220" t="s">
        <v>453</v>
      </c>
      <c r="E17" s="213">
        <v>4</v>
      </c>
      <c r="F17" s="212" t="s">
        <v>336</v>
      </c>
      <c r="L17" s="208">
        <f ca="1">INDIRECT("'" &amp; $A$101 &amp; "'!H12")</f>
        <v>56</v>
      </c>
      <c r="M17" s="53" t="e">
        <f ca="1">INDIRECT("'" &amp; $A$101 &amp; "'!H13")</f>
        <v>#N/A</v>
      </c>
      <c r="N17" s="53" t="e">
        <f ca="1">INDIRECT("'" &amp; $A$101 &amp; "'!R13")</f>
        <v>#N/A</v>
      </c>
      <c r="O17" s="53" t="e">
        <f ca="1">INDIRECT("'" &amp; $A$101 &amp; "'!H19")</f>
        <v>#N/A</v>
      </c>
      <c r="P17" s="53" t="e">
        <f t="shared" ca="1" si="0"/>
        <v>#N/A</v>
      </c>
      <c r="Q17" s="55" t="e">
        <f ca="1">INDIRECT("'" &amp; $A$101 &amp; "'!H17")</f>
        <v>#N/A</v>
      </c>
      <c r="R17" s="53" t="e">
        <f ca="1">INDIRECT("'" &amp; $A$101 &amp; "'!R19")</f>
        <v>#N/A</v>
      </c>
      <c r="S17" s="619" t="e">
        <f t="shared" ca="1" si="1"/>
        <v>#N/A</v>
      </c>
      <c r="T17" s="580" t="e">
        <f ca="1">INDIRECT("'" &amp; $A$101 &amp; "'!R17")</f>
        <v>#N/A</v>
      </c>
      <c r="U17" s="4"/>
    </row>
    <row r="18" spans="1:21" ht="15.75" customHeight="1" x14ac:dyDescent="0.25">
      <c r="A18" s="220" t="s">
        <v>642</v>
      </c>
      <c r="B18" s="213">
        <v>30</v>
      </c>
      <c r="C18" s="3" t="s">
        <v>40</v>
      </c>
      <c r="D18" s="220" t="s">
        <v>455</v>
      </c>
      <c r="E18" s="213">
        <v>4</v>
      </c>
      <c r="F18" s="212" t="s">
        <v>336</v>
      </c>
      <c r="L18" s="208">
        <f ca="1">INDIRECT("'" &amp; $A$101 &amp; "'!I12")</f>
        <v>60</v>
      </c>
      <c r="M18" s="53" t="e">
        <f ca="1">INDIRECT("'" &amp; $A$101 &amp; "'!I13")</f>
        <v>#N/A</v>
      </c>
      <c r="N18" s="53" t="e">
        <f ca="1">INDIRECT("'" &amp; $A$101 &amp; "'!S13")</f>
        <v>#N/A</v>
      </c>
      <c r="O18" s="53" t="e">
        <f ca="1">INDIRECT("'" &amp; $A$101 &amp; "'!I19")</f>
        <v>#N/A</v>
      </c>
      <c r="P18" s="53" t="e">
        <f t="shared" ca="1" si="0"/>
        <v>#N/A</v>
      </c>
      <c r="Q18" s="55" t="e">
        <f ca="1">INDIRECT("'" &amp; $A$101 &amp; "'!I17")</f>
        <v>#N/A</v>
      </c>
      <c r="R18" s="53" t="e">
        <f ca="1">INDIRECT("'" &amp; $A$101 &amp; "'!S19")</f>
        <v>#N/A</v>
      </c>
      <c r="S18" s="619" t="e">
        <f t="shared" ca="1" si="1"/>
        <v>#N/A</v>
      </c>
      <c r="T18" s="580" t="e">
        <f ca="1">INDIRECT("'" &amp; $A$101 &amp; "'!S17")</f>
        <v>#N/A</v>
      </c>
      <c r="U18" s="4"/>
    </row>
    <row r="19" spans="1:21" ht="15.75" customHeight="1" x14ac:dyDescent="0.25">
      <c r="A19" s="220" t="s">
        <v>456</v>
      </c>
      <c r="B19" s="213">
        <v>80</v>
      </c>
      <c r="C19" s="212" t="s">
        <v>457</v>
      </c>
      <c r="D19" s="220" t="str">
        <f>IF(application="Cut to Length","Shear Cyc Tim 1", "Feed Angle 1")</f>
        <v>Feed Angle 1</v>
      </c>
      <c r="E19" s="213">
        <v>180</v>
      </c>
      <c r="F19" s="212" t="str">
        <f>IF(application="Cut to Length","Sec.", "Deg.")</f>
        <v>Deg.</v>
      </c>
      <c r="L19" s="208">
        <f ca="1">INDIRECT("'" &amp; $A$101 &amp; "'!B21")</f>
        <v>64</v>
      </c>
      <c r="M19" s="53" t="e">
        <f ca="1">INDIRECT("'" &amp; $A$101 &amp; "'!B22")</f>
        <v>#N/A</v>
      </c>
      <c r="N19" s="53" t="e">
        <f ca="1">INDIRECT("'" &amp; $A$101 &amp; "'!L22")</f>
        <v>#N/A</v>
      </c>
      <c r="O19" s="53" t="e">
        <f ca="1">INDIRECT("'" &amp; $A$101 &amp; "'!B28")</f>
        <v>#N/A</v>
      </c>
      <c r="P19" s="53" t="e">
        <f t="shared" ca="1" si="0"/>
        <v>#N/A</v>
      </c>
      <c r="Q19" s="55" t="e">
        <f ca="1">INDIRECT("'" &amp; $A$101 &amp; "'!B26")</f>
        <v>#N/A</v>
      </c>
      <c r="R19" s="53" t="e">
        <f ca="1">INDIRECT("'" &amp; $A$101 &amp; "'!L28")</f>
        <v>#N/A</v>
      </c>
      <c r="S19" s="619" t="e">
        <f t="shared" ca="1" si="1"/>
        <v>#N/A</v>
      </c>
      <c r="T19" s="580" t="e">
        <f ca="1">INDIRECT("'" &amp; $A$101 &amp; "'!L26")</f>
        <v>#N/A</v>
      </c>
      <c r="U19" s="4"/>
    </row>
    <row r="20" spans="1:21" ht="15.75" customHeight="1" x14ac:dyDescent="0.25">
      <c r="A20" s="220" t="s">
        <v>1386</v>
      </c>
      <c r="B20" s="697">
        <f>_xlfn.XLOOKUP(model, tblAB[Model], tblAB[Acceleration], 0, 0, 1)</f>
        <v>0</v>
      </c>
      <c r="C20" s="212" t="s">
        <v>457</v>
      </c>
      <c r="D20" s="220" t="str">
        <f>IF(application="Cut to Length","Shear Cyc Tim 2", "Feed Angle 2")</f>
        <v>Feed Angle 2</v>
      </c>
      <c r="E20" s="213">
        <v>240</v>
      </c>
      <c r="F20" s="212" t="str">
        <f>IF(application="Cut to Length","Sec.", "Deg.")</f>
        <v>Deg.</v>
      </c>
      <c r="G20" s="249" t="s">
        <v>645</v>
      </c>
      <c r="H20" s="249" t="e">
        <f ca="1">regen</f>
        <v>#N/A</v>
      </c>
      <c r="I20" s="369" t="s">
        <v>459</v>
      </c>
      <c r="L20" s="208">
        <f ca="1">INDIRECT("'" &amp; $A$101 &amp; "'!C21")</f>
        <v>68</v>
      </c>
      <c r="M20" s="53" t="e">
        <f ca="1">INDIRECT("'" &amp; $A$101 &amp; "'!C22")</f>
        <v>#N/A</v>
      </c>
      <c r="N20" s="53" t="e">
        <f ca="1">INDIRECT("'" &amp; $A$101 &amp; "'!M22")</f>
        <v>#N/A</v>
      </c>
      <c r="O20" s="53" t="e">
        <f ca="1">INDIRECT("'" &amp; $A$101 &amp; "'!C28")</f>
        <v>#N/A</v>
      </c>
      <c r="P20" s="53" t="e">
        <f t="shared" ca="1" si="0"/>
        <v>#N/A</v>
      </c>
      <c r="Q20" s="55" t="e">
        <f ca="1">INDIRECT("'" &amp; $A$101 &amp; "'!C26")</f>
        <v>#N/A</v>
      </c>
      <c r="R20" s="53" t="e">
        <f ca="1">INDIRECT("'" &amp; $A$101 &amp; "'!M28")</f>
        <v>#N/A</v>
      </c>
      <c r="S20" s="619" t="e">
        <f t="shared" ca="1" si="1"/>
        <v>#N/A</v>
      </c>
      <c r="T20" s="580" t="e">
        <f ca="1">INDIRECT("'" &amp; $A$101 &amp; "'!M26")</f>
        <v>#N/A</v>
      </c>
      <c r="U20" s="4"/>
    </row>
    <row r="21" spans="1:21" ht="15.75" customHeight="1" x14ac:dyDescent="0.25">
      <c r="G21" s="5" t="s">
        <v>460</v>
      </c>
      <c r="H21" s="48" t="e">
        <f>VLOOKUP(model,LookupInertia,2)</f>
        <v>#N/A</v>
      </c>
      <c r="I21" s="212" t="s">
        <v>461</v>
      </c>
      <c r="L21" s="208">
        <f ca="1">INDIRECT("'" &amp; $A$101 &amp; "'!D21")</f>
        <v>72</v>
      </c>
      <c r="M21" s="53" t="e">
        <f ca="1">INDIRECT("'" &amp; $A$101 &amp; "'!D22")</f>
        <v>#N/A</v>
      </c>
      <c r="N21" s="53" t="e">
        <f ca="1">INDIRECT("'" &amp; $A$101 &amp; "'!N22")</f>
        <v>#N/A</v>
      </c>
      <c r="O21" s="53" t="e">
        <f ca="1">INDIRECT("'" &amp; $A$101 &amp; "'!D28")</f>
        <v>#N/A</v>
      </c>
      <c r="P21" s="53" t="e">
        <f t="shared" ca="1" si="0"/>
        <v>#N/A</v>
      </c>
      <c r="Q21" s="55" t="e">
        <f ca="1">INDIRECT("'" &amp; $A$101 &amp; "'!D26")</f>
        <v>#N/A</v>
      </c>
      <c r="R21" s="53" t="e">
        <f ca="1">INDIRECT("'" &amp; $A$101 &amp; "'!N28")</f>
        <v>#N/A</v>
      </c>
      <c r="S21" s="619" t="e">
        <f t="shared" ca="1" si="1"/>
        <v>#N/A</v>
      </c>
      <c r="T21" s="580" t="e">
        <f ca="1">INDIRECT("'" &amp; $A$101 &amp; "'!N26")</f>
        <v>#N/A</v>
      </c>
      <c r="U21" s="4"/>
    </row>
    <row r="22" spans="1:21" ht="15.75" customHeight="1" x14ac:dyDescent="0.25">
      <c r="A22" s="5" t="s">
        <v>462</v>
      </c>
      <c r="B22" s="14" t="e">
        <f>VLOOKUP(model,LookupABFeed, 3,FALSE)</f>
        <v>#N/A</v>
      </c>
      <c r="C22" s="212" t="s">
        <v>463</v>
      </c>
      <c r="D22" s="5" t="s">
        <v>464</v>
      </c>
      <c r="E22" s="14" t="e">
        <f>VLOOKUP(model,LookupABFeed,5,FALSE)</f>
        <v>#N/A</v>
      </c>
      <c r="F22" s="425" t="s">
        <v>465</v>
      </c>
      <c r="G22" s="5" t="s">
        <v>466</v>
      </c>
      <c r="H22" s="370" t="e">
        <f>reflin/MINT</f>
        <v>#N/A</v>
      </c>
      <c r="I22" s="426" t="e">
        <f>IF(MATCH&gt;12,"EXCESS",IF(AND(MATCH&gt;=10,MATCH&lt;12), "CAUTION","OK"))</f>
        <v>#N/A</v>
      </c>
      <c r="L22" s="208">
        <f ca="1">INDIRECT("'" &amp; $A$101 &amp; "'!E21")</f>
        <v>76</v>
      </c>
      <c r="M22" s="53" t="e">
        <f ca="1">INDIRECT("'" &amp; $A$101 &amp; "'!E22")</f>
        <v>#N/A</v>
      </c>
      <c r="N22" s="53" t="e">
        <f ca="1">INDIRECT("'" &amp; $A$101 &amp; "'!O22")</f>
        <v>#N/A</v>
      </c>
      <c r="O22" s="53" t="e">
        <f ca="1">INDIRECT("'" &amp; $A$101 &amp; "'!E28")</f>
        <v>#N/A</v>
      </c>
      <c r="P22" s="53" t="e">
        <f t="shared" ca="1" si="0"/>
        <v>#N/A</v>
      </c>
      <c r="Q22" s="55" t="e">
        <f ca="1">INDIRECT("'" &amp; $A$101 &amp; "'!E26")</f>
        <v>#N/A</v>
      </c>
      <c r="R22" s="53" t="e">
        <f ca="1">INDIRECT("'" &amp; $A$101 &amp; "'!O28")</f>
        <v>#N/A</v>
      </c>
      <c r="S22" s="619" t="e">
        <f t="shared" ca="1" si="1"/>
        <v>#N/A</v>
      </c>
      <c r="T22" s="580" t="e">
        <f ca="1">INDIRECT("'" &amp; $A$101 &amp; "'!O26")</f>
        <v>#N/A</v>
      </c>
      <c r="U22" s="4"/>
    </row>
    <row r="23" spans="1:21" ht="15.75" customHeight="1" x14ac:dyDescent="0.25">
      <c r="A23" s="5" t="s">
        <v>467</v>
      </c>
      <c r="B23" s="371" t="e">
        <f>VLOOKUP(model,LookupABFeed,4,FALSE)</f>
        <v>#N/A</v>
      </c>
      <c r="C23" s="212" t="s">
        <v>461</v>
      </c>
      <c r="D23" s="5" t="s">
        <v>468</v>
      </c>
      <c r="E23" s="14" t="e">
        <f>VLOOKUP(model,LookupABFeed,6,FALSE)</f>
        <v>#N/A</v>
      </c>
      <c r="F23" s="425" t="s">
        <v>465</v>
      </c>
      <c r="G23" s="5" t="s">
        <v>469</v>
      </c>
      <c r="H23" s="249" t="e">
        <f ca="1">ACCTQ+FRICTQ+LOOPTQ</f>
        <v>#N/A</v>
      </c>
      <c r="I23" s="2" t="e">
        <f ca="1">IF(MPEAK&gt;PEAKTQ,"OK","EXCESS")</f>
        <v>#N/A</v>
      </c>
      <c r="L23" s="208">
        <f ca="1">INDIRECT("'" &amp; $A$101 &amp; "'!F21")</f>
        <v>80</v>
      </c>
      <c r="M23" s="53" t="e">
        <f ca="1">INDIRECT("'" &amp; $A$101 &amp; "'!F22")</f>
        <v>#N/A</v>
      </c>
      <c r="N23" s="53" t="e">
        <f ca="1">INDIRECT("'" &amp; $A$101 &amp; "'!P22")</f>
        <v>#N/A</v>
      </c>
      <c r="O23" s="53" t="e">
        <f ca="1">INDIRECT("'" &amp; $A$101 &amp; "'!F28")</f>
        <v>#N/A</v>
      </c>
      <c r="P23" s="53" t="e">
        <f t="shared" ca="1" si="0"/>
        <v>#N/A</v>
      </c>
      <c r="Q23" s="55" t="e">
        <f ca="1">INDIRECT("'" &amp; $A$101 &amp; "'!F26")</f>
        <v>#N/A</v>
      </c>
      <c r="R23" s="53" t="e">
        <f ca="1">INDIRECT("'" &amp; $A$101 &amp; "'!P28")</f>
        <v>#N/A</v>
      </c>
      <c r="S23" s="619" t="e">
        <f t="shared" ca="1" si="1"/>
        <v>#N/A</v>
      </c>
      <c r="T23" s="580" t="e">
        <f ca="1">INDIRECT("'" &amp; $A$101 &amp; "'!P26")</f>
        <v>#N/A</v>
      </c>
      <c r="U23" s="4"/>
    </row>
    <row r="24" spans="1:21" ht="15.75" customHeight="1" x14ac:dyDescent="0.25">
      <c r="A24" s="5" t="s">
        <v>1129</v>
      </c>
      <c r="B24" s="249" t="e">
        <f>MRPM/RATIO*(VLOOKUP(model,LookupABFeed,13,FALSE)*PI()/720)*60</f>
        <v>#N/A</v>
      </c>
      <c r="C24" s="212" t="s">
        <v>452</v>
      </c>
      <c r="D24" s="5" t="s">
        <v>470</v>
      </c>
      <c r="E24" s="249" t="e">
        <f>((VLOOKUP(model,LookupABFeed,12,FALSE))*0.5*B18)/RATIO</f>
        <v>#N/A</v>
      </c>
      <c r="F24" s="425" t="s">
        <v>465</v>
      </c>
      <c r="G24" s="5" t="s">
        <v>471</v>
      </c>
      <c r="H24" s="249" t="e">
        <f ca="1">SQRT(((PEAKTQ^2*ACCTM)+(ACCTQ^2*ACCTM)+(SETTQ^2*SETTM)+(LOOPTQ^2*DWLTM))/CYCTM)</f>
        <v>#N/A</v>
      </c>
      <c r="I24" s="2" t="e">
        <f ca="1">IF(MRMS&gt;RMSTQ,"OK","EXCESS")</f>
        <v>#N/A</v>
      </c>
      <c r="L24" s="208">
        <f ca="1">INDIRECT("'" &amp; $A$101 &amp; "'!G21")</f>
        <v>84</v>
      </c>
      <c r="M24" s="53" t="e">
        <f ca="1">INDIRECT("'" &amp; $A$101 &amp; "'!G22")</f>
        <v>#N/A</v>
      </c>
      <c r="N24" s="53" t="e">
        <f ca="1">INDIRECT("'" &amp; $A$101 &amp; "'!Q22")</f>
        <v>#N/A</v>
      </c>
      <c r="O24" s="53" t="e">
        <f ca="1">INDIRECT("'" &amp; $A$101 &amp; "'!G28")</f>
        <v>#N/A</v>
      </c>
      <c r="P24" s="53" t="e">
        <f t="shared" ca="1" si="0"/>
        <v>#N/A</v>
      </c>
      <c r="Q24" s="55" t="e">
        <f ca="1">INDIRECT("'" &amp; $A$101 &amp; "'!G26")</f>
        <v>#N/A</v>
      </c>
      <c r="R24" s="53" t="e">
        <f ca="1">INDIRECT("'" &amp; $A$101 &amp; "'!Q28")</f>
        <v>#N/A</v>
      </c>
      <c r="S24" s="619" t="e">
        <f t="shared" ca="1" si="1"/>
        <v>#N/A</v>
      </c>
      <c r="T24" s="580" t="e">
        <f ca="1">INDIRECT("'" &amp; $A$101 &amp; "'!Q26")</f>
        <v>#N/A</v>
      </c>
      <c r="U24" s="4"/>
    </row>
    <row r="25" spans="1:21" ht="15.75" customHeight="1" x14ac:dyDescent="0.25">
      <c r="A25" s="5" t="s">
        <v>472</v>
      </c>
      <c r="B25" s="5" t="e">
        <f>IF(MATCH&lt;10, 0.035, 0.06)</f>
        <v>#N/A</v>
      </c>
      <c r="C25" s="212" t="s">
        <v>473</v>
      </c>
      <c r="D25" s="5" t="s">
        <v>474</v>
      </c>
      <c r="E25" s="6" t="e">
        <f>((B15*C15*E15*F15*0.5)*(VLOOKUP(model,LookupABFeed,12,FALSE))*0.5)/RATIO/VLOOKUP(model,LookupABFeed,9,FALSE)</f>
        <v>#N/A</v>
      </c>
      <c r="F25" s="425" t="s">
        <v>465</v>
      </c>
      <c r="G25" s="5" t="s">
        <v>475</v>
      </c>
      <c r="H25" s="249" t="e">
        <f ca="1">SQRT(((PEAKTQ^2*ACCTM_2)+(ACCTQ^2*ACCTM_2)+(SETTQ^2*SETTM)+(LOOPTQ^2*DWLTM_2))/CYCTM_2)</f>
        <v>#N/A</v>
      </c>
      <c r="I25" s="2" t="e">
        <f ca="1">IF(MRMS&gt;RMSTQ_2,"OK","EXCESS")</f>
        <v>#N/A</v>
      </c>
      <c r="L25" s="208">
        <f ca="1">INDIRECT("'" &amp; $A$101 &amp; "'!H21")</f>
        <v>88</v>
      </c>
      <c r="M25" s="53" t="e">
        <f ca="1">INDIRECT("'" &amp; $A$101 &amp; "'!H22")</f>
        <v>#N/A</v>
      </c>
      <c r="N25" s="53" t="e">
        <f ca="1">INDIRECT("'" &amp; $A$101 &amp; "'!R22")</f>
        <v>#N/A</v>
      </c>
      <c r="O25" s="53" t="e">
        <f ca="1">INDIRECT("'" &amp; $A$101 &amp; "'!H28")</f>
        <v>#N/A</v>
      </c>
      <c r="P25" s="53" t="e">
        <f t="shared" ca="1" si="0"/>
        <v>#N/A</v>
      </c>
      <c r="Q25" s="55" t="e">
        <f ca="1">INDIRECT("'" &amp; $A$101 &amp; "'!H26")</f>
        <v>#N/A</v>
      </c>
      <c r="R25" s="53" t="e">
        <f ca="1">INDIRECT("'" &amp; $A$101 &amp; "'!R28")</f>
        <v>#N/A</v>
      </c>
      <c r="S25" s="619" t="e">
        <f t="shared" ca="1" si="1"/>
        <v>#N/A</v>
      </c>
      <c r="T25" s="580" t="e">
        <f ca="1">INDIRECT("'" &amp; $A$101 &amp; "'!R26")</f>
        <v>#N/A</v>
      </c>
      <c r="U25" s="4"/>
    </row>
    <row r="26" spans="1:21" ht="15.75" customHeight="1" thickBot="1" x14ac:dyDescent="0.3">
      <c r="A26" s="5" t="s">
        <v>224</v>
      </c>
      <c r="B26" s="373" t="e">
        <f>VLOOKUP(model, LookupABFeed,2,FALSE)</f>
        <v>#N/A</v>
      </c>
      <c r="C26" s="212" t="s">
        <v>476</v>
      </c>
      <c r="D26" s="5" t="s">
        <v>477</v>
      </c>
      <c r="E26" s="5" t="e">
        <f>VLOOKUP(model,LookupABFeed,7,FALSE)</f>
        <v>#N/A</v>
      </c>
      <c r="F26" s="427" t="s">
        <v>465</v>
      </c>
      <c r="G26" s="5" t="s">
        <v>478</v>
      </c>
      <c r="H26" s="249" t="e">
        <f ca="1">(((reflin*RPM)/(9.55*ACCTM))/(VLOOKUP(model,LookupABFeed,9,FALSE)))+((MINT*RPM)/(9.55*ACCTM))</f>
        <v>#N/A</v>
      </c>
      <c r="I26" s="428" t="e">
        <f ca="1">IF(ACCTQ&lt;MPEAK,"OK", "EXCESS")</f>
        <v>#N/A</v>
      </c>
      <c r="L26" s="232">
        <f ca="1">INDIRECT("'" &amp; $A$101 &amp; "'!I21")</f>
        <v>92</v>
      </c>
      <c r="M26" s="233" t="e">
        <f ca="1">INDIRECT("'" &amp; $A$101 &amp; "'!I22")</f>
        <v>#N/A</v>
      </c>
      <c r="N26" s="233" t="e">
        <f ca="1">INDIRECT("'" &amp; $A$101 &amp; "'!S22")</f>
        <v>#N/A</v>
      </c>
      <c r="O26" s="233" t="e">
        <f ca="1">INDIRECT("'" &amp; $A$101 &amp; "'!I28")</f>
        <v>#N/A</v>
      </c>
      <c r="P26" s="233" t="e">
        <f t="shared" ca="1" si="0"/>
        <v>#N/A</v>
      </c>
      <c r="Q26" s="234" t="e">
        <f ca="1">INDIRECT("'" &amp; $A$101 &amp; "'!I26")</f>
        <v>#N/A</v>
      </c>
      <c r="R26" s="233" t="e">
        <f ca="1">INDIRECT("'" &amp; $A$101 &amp; "'!S28")</f>
        <v>#N/A</v>
      </c>
      <c r="S26" s="389" t="e">
        <f t="shared" ca="1" si="1"/>
        <v>#N/A</v>
      </c>
      <c r="T26" s="618" t="e">
        <f ca="1">INDIRECT("'" &amp; $A$101 &amp; "'!S26")</f>
        <v>#N/A</v>
      </c>
      <c r="U26" s="4"/>
    </row>
    <row r="27" spans="1:21" ht="15.75" customHeight="1" x14ac:dyDescent="0.25"/>
    <row r="53" spans="1:16" x14ac:dyDescent="0.25">
      <c r="B53" s="2"/>
      <c r="C53" s="2"/>
      <c r="D53" s="2"/>
      <c r="E53" s="2"/>
      <c r="F53" s="2"/>
      <c r="G53" s="2"/>
      <c r="H53" s="2"/>
      <c r="I53" s="2"/>
    </row>
    <row r="54" spans="1:16" x14ac:dyDescent="0.25">
      <c r="B54" s="2"/>
      <c r="C54" s="2"/>
      <c r="D54" s="2"/>
      <c r="E54" s="2"/>
      <c r="F54" s="2"/>
      <c r="G54" s="2"/>
      <c r="H54" s="2"/>
      <c r="I54" s="2"/>
    </row>
    <row r="55" spans="1:16" x14ac:dyDescent="0.25">
      <c r="B55" s="2"/>
      <c r="C55" s="2"/>
      <c r="D55" s="2"/>
      <c r="E55" s="2"/>
      <c r="F55" s="2"/>
      <c r="G55" s="2"/>
      <c r="H55" s="2"/>
      <c r="I55" s="2"/>
    </row>
    <row r="56" spans="1:16" x14ac:dyDescent="0.25">
      <c r="B56" s="2"/>
      <c r="C56" s="2"/>
      <c r="D56" s="2"/>
      <c r="E56" s="2"/>
      <c r="F56" s="2"/>
      <c r="G56" s="2"/>
      <c r="H56" s="2"/>
      <c r="I56" s="2"/>
    </row>
    <row r="57" spans="1:16" x14ac:dyDescent="0.25">
      <c r="B57" s="2"/>
      <c r="C57" s="2"/>
      <c r="D57" s="2"/>
      <c r="E57" s="2"/>
      <c r="F57" s="2"/>
      <c r="G57" s="2"/>
      <c r="H57" s="2"/>
      <c r="I57" s="2"/>
    </row>
    <row r="58" spans="1:16" x14ac:dyDescent="0.25">
      <c r="B58" s="2"/>
      <c r="C58" s="2"/>
      <c r="D58" s="2"/>
      <c r="E58" s="2"/>
      <c r="F58" s="2"/>
      <c r="G58" s="2"/>
      <c r="H58" s="2"/>
      <c r="I58" s="2"/>
    </row>
    <row r="59" spans="1:16" x14ac:dyDescent="0.25">
      <c r="B59" s="2"/>
      <c r="C59" s="2"/>
      <c r="D59" s="2"/>
      <c r="E59" s="2"/>
      <c r="F59" s="2"/>
      <c r="G59" s="2"/>
      <c r="H59" s="2"/>
      <c r="I59" s="2"/>
    </row>
    <row r="60" spans="1:16" hidden="1" x14ac:dyDescent="0.25">
      <c r="B60" s="2"/>
      <c r="C60" s="2"/>
      <c r="D60" s="2"/>
      <c r="E60" s="2"/>
      <c r="F60" s="2"/>
      <c r="G60" s="2"/>
      <c r="H60" s="2"/>
      <c r="I60" s="2"/>
    </row>
    <row r="61" spans="1:16" hidden="1" x14ac:dyDescent="0.25">
      <c r="B61" s="2"/>
      <c r="C61" s="2"/>
      <c r="D61" s="2"/>
      <c r="E61" s="2"/>
      <c r="F61" s="2"/>
      <c r="G61" s="2"/>
      <c r="H61" s="2"/>
      <c r="I61" s="2"/>
    </row>
    <row r="62" spans="1:16" hidden="1" x14ac:dyDescent="0.25">
      <c r="A62" s="547" t="s">
        <v>1001</v>
      </c>
      <c r="B62" s="548"/>
      <c r="I62"/>
    </row>
    <row r="63" spans="1:16" hidden="1" x14ac:dyDescent="0.25">
      <c r="A63" s="546" t="s">
        <v>160</v>
      </c>
      <c r="B63" s="548" t="s">
        <v>1002</v>
      </c>
    </row>
    <row r="64" spans="1:16" hidden="1" x14ac:dyDescent="0.25">
      <c r="A64" s="546" t="s">
        <v>766</v>
      </c>
      <c r="B64" s="548" t="e">
        <f ca="1">Inertia5!$M$41</f>
        <v>#N/A</v>
      </c>
      <c r="J64" s="236"/>
      <c r="N64" s="47"/>
      <c r="O64" s="47"/>
      <c r="P64" s="47"/>
    </row>
    <row r="65" spans="1:24" hidden="1" x14ac:dyDescent="0.25">
      <c r="A65" s="546" t="s">
        <v>769</v>
      </c>
      <c r="B65" s="548" t="e">
        <f ca="1">Inertia5!$B$41</f>
        <v>#N/A</v>
      </c>
      <c r="N65" s="47"/>
      <c r="O65" s="47"/>
      <c r="P65" s="47"/>
    </row>
    <row r="66" spans="1:24" ht="15.75" hidden="1" x14ac:dyDescent="0.25">
      <c r="A66" s="546" t="s">
        <v>772</v>
      </c>
      <c r="B66" s="548" t="e">
        <f ca="1">Inertia5!$X$41</f>
        <v>#N/A</v>
      </c>
      <c r="D66" s="40"/>
      <c r="G66" s="201"/>
      <c r="H66" s="236"/>
      <c r="I66" s="237"/>
      <c r="J66" s="236"/>
      <c r="K66" s="201"/>
      <c r="L66" s="236"/>
      <c r="M66" s="236"/>
      <c r="N66" s="238"/>
      <c r="O66" s="238"/>
      <c r="P66" s="238"/>
      <c r="Q66" s="239"/>
      <c r="U66" s="240"/>
      <c r="V66" s="240"/>
      <c r="W66" s="240"/>
      <c r="X66" s="236"/>
    </row>
    <row r="67" spans="1:24" ht="15.75" hidden="1" x14ac:dyDescent="0.25">
      <c r="A67" s="546" t="s">
        <v>775</v>
      </c>
      <c r="B67" s="548" t="e">
        <f ca="1">Inertia5!$AI$41</f>
        <v>#N/A</v>
      </c>
      <c r="D67" s="40"/>
      <c r="G67" s="201"/>
      <c r="H67" s="236"/>
      <c r="I67" s="237"/>
      <c r="J67" s="236"/>
      <c r="K67" s="201"/>
      <c r="L67" s="236"/>
      <c r="M67" s="236"/>
      <c r="N67" s="238"/>
      <c r="O67" s="238"/>
      <c r="P67" s="238"/>
      <c r="Q67" s="239"/>
      <c r="U67" s="240"/>
      <c r="V67" s="240"/>
      <c r="W67" s="240"/>
    </row>
    <row r="68" spans="1:24" ht="15.75" hidden="1" x14ac:dyDescent="0.25">
      <c r="A68" s="557" t="s">
        <v>777</v>
      </c>
      <c r="B68" s="548" t="e">
        <f ca="1">Inertia5!$BP$43</f>
        <v>#N/A</v>
      </c>
      <c r="D68" s="40"/>
      <c r="G68" s="201"/>
      <c r="H68" s="236"/>
      <c r="I68" s="237"/>
      <c r="J68" s="236"/>
      <c r="K68" s="201"/>
      <c r="L68" s="236"/>
      <c r="M68" s="236"/>
      <c r="N68" s="238"/>
      <c r="O68" s="238"/>
      <c r="P68" s="238"/>
      <c r="Q68" s="239"/>
      <c r="U68" s="240"/>
      <c r="V68" s="240"/>
      <c r="W68" s="240"/>
    </row>
    <row r="69" spans="1:24" ht="15.75" hidden="1" x14ac:dyDescent="0.25">
      <c r="A69" s="557" t="s">
        <v>780</v>
      </c>
      <c r="B69" s="548" t="e">
        <f ca="1">Inertia5!$CL$43</f>
        <v>#N/A</v>
      </c>
      <c r="D69" s="40"/>
      <c r="G69" s="201"/>
      <c r="H69" s="236"/>
      <c r="I69" s="237"/>
      <c r="J69" s="236"/>
      <c r="K69" s="201"/>
      <c r="L69" s="236"/>
      <c r="M69" s="236"/>
      <c r="N69" s="238"/>
      <c r="O69" s="238"/>
      <c r="P69" s="238"/>
      <c r="Q69" s="239"/>
      <c r="U69" s="240"/>
      <c r="V69" s="240"/>
      <c r="W69" s="240"/>
    </row>
    <row r="70" spans="1:24" ht="15.75" hidden="1" x14ac:dyDescent="0.25">
      <c r="A70" s="546" t="s">
        <v>762</v>
      </c>
      <c r="B70" s="548" t="e">
        <f ca="1">Inertia5!$CW$46</f>
        <v>#N/A</v>
      </c>
      <c r="D70" s="40"/>
      <c r="G70" s="201"/>
      <c r="H70" s="236"/>
      <c r="I70" s="237"/>
      <c r="J70" s="236"/>
      <c r="K70" s="201"/>
      <c r="L70" s="236"/>
      <c r="M70" s="236"/>
      <c r="N70" s="238"/>
      <c r="O70" s="238"/>
      <c r="P70" s="238"/>
      <c r="Q70" s="239"/>
      <c r="U70" s="240"/>
      <c r="V70" s="240"/>
      <c r="W70" s="240"/>
    </row>
    <row r="71" spans="1:24" ht="15.75" hidden="1" x14ac:dyDescent="0.25">
      <c r="A71" s="546" t="s">
        <v>784</v>
      </c>
      <c r="B71" s="548" t="e">
        <f ca="1">Inertia5!$DS$46</f>
        <v>#N/A</v>
      </c>
      <c r="D71" s="40"/>
      <c r="G71" s="201"/>
      <c r="H71" s="236"/>
      <c r="I71" s="237"/>
      <c r="J71" s="236"/>
      <c r="K71" s="201"/>
      <c r="L71" s="236"/>
      <c r="M71" s="236"/>
      <c r="N71" s="238"/>
      <c r="O71" s="238"/>
      <c r="P71" s="238"/>
      <c r="Q71" s="239"/>
      <c r="U71" s="240"/>
      <c r="V71" s="240"/>
      <c r="W71" s="240"/>
    </row>
    <row r="72" spans="1:24" ht="15.75" hidden="1" x14ac:dyDescent="0.25">
      <c r="A72" s="546" t="s">
        <v>787</v>
      </c>
      <c r="B72" s="548" t="e">
        <f ca="1">Inertia5!$EE$46</f>
        <v>#N/A</v>
      </c>
      <c r="D72" s="40"/>
      <c r="G72" s="201"/>
      <c r="H72" s="236"/>
      <c r="I72" s="237"/>
      <c r="J72" s="236"/>
      <c r="K72" s="201"/>
      <c r="L72" s="236"/>
      <c r="M72" s="236"/>
      <c r="N72" s="238"/>
      <c r="O72" s="238"/>
      <c r="P72" s="238"/>
      <c r="Q72" s="239"/>
    </row>
    <row r="73" spans="1:24" hidden="1" x14ac:dyDescent="0.25"/>
    <row r="74" spans="1:24" hidden="1" x14ac:dyDescent="0.25">
      <c r="A74" s="241"/>
      <c r="B74" s="242"/>
      <c r="C74" s="556"/>
      <c r="D74" s="556"/>
      <c r="E74" s="556"/>
      <c r="F74" s="556"/>
      <c r="G74" s="556"/>
      <c r="H74" s="556"/>
      <c r="I74" s="556"/>
      <c r="J74" s="556"/>
      <c r="K74" s="546"/>
      <c r="L74" s="546"/>
      <c r="M74" s="546"/>
      <c r="N74" s="546"/>
      <c r="O74" s="546"/>
      <c r="P74" s="546"/>
      <c r="Q74" s="546"/>
      <c r="R74" s="546"/>
      <c r="S74" s="546"/>
      <c r="T74" s="546"/>
      <c r="U74" s="546"/>
    </row>
    <row r="75" spans="1:24" hidden="1" x14ac:dyDescent="0.25">
      <c r="A75" s="241"/>
      <c r="B75" s="242"/>
      <c r="C75" s="555"/>
      <c r="D75" s="555"/>
      <c r="E75" s="555"/>
      <c r="F75" s="586" t="s">
        <v>517</v>
      </c>
      <c r="G75" s="586" t="e">
        <f>((vel*720)/(VLOOKUP(model, LookupABFeed,12,FALSE)*PI()))*RATIO</f>
        <v>#N/A</v>
      </c>
      <c r="H75" s="587" t="e">
        <f>IF(RPM&gt;MRPM,"EXCESS","OK")</f>
        <v>#N/A</v>
      </c>
      <c r="I75" s="555"/>
      <c r="J75" s="555"/>
      <c r="K75" s="546"/>
      <c r="L75" s="546"/>
      <c r="M75" s="546"/>
      <c r="N75" s="546"/>
      <c r="O75" s="546"/>
      <c r="P75" s="546"/>
      <c r="Q75" s="546"/>
      <c r="R75" s="546"/>
      <c r="S75" s="546"/>
      <c r="T75" s="546"/>
      <c r="U75" s="546"/>
    </row>
    <row r="76" spans="1:24" hidden="1" x14ac:dyDescent="0.25">
      <c r="A76" s="554"/>
      <c r="B76" s="555"/>
      <c r="C76" s="555"/>
      <c r="D76" s="555"/>
      <c r="E76" s="555"/>
      <c r="F76" s="555"/>
      <c r="G76" s="555"/>
      <c r="H76" s="555"/>
      <c r="I76" s="555"/>
      <c r="J76" s="591"/>
      <c r="K76" s="546"/>
      <c r="L76" s="546"/>
      <c r="M76" s="546"/>
      <c r="N76" s="546"/>
      <c r="O76" s="546"/>
      <c r="P76" s="546"/>
      <c r="Q76" s="546"/>
      <c r="R76" s="546"/>
      <c r="S76" s="546"/>
      <c r="T76" s="546"/>
      <c r="U76" s="546"/>
    </row>
    <row r="77" spans="1:24" hidden="1" x14ac:dyDescent="0.25">
      <c r="A77" s="554"/>
      <c r="B77" s="548"/>
      <c r="C77" s="592" t="s">
        <v>949</v>
      </c>
      <c r="D77" s="588" t="e">
        <f>MRPM/RATIO*(VLOOKUP(model,LookupABFeed,13,FALSE)*PI()/720)</f>
        <v>#N/A</v>
      </c>
      <c r="E77" s="548"/>
      <c r="F77" s="586" t="s">
        <v>518</v>
      </c>
      <c r="G77" s="589" t="e">
        <f ca="1">(((reflin*RPM)/(9.55*ACCTM_2))/(VLOOKUP(model,LookupABFeed,9,FALSE)))+((MINT*RPM)/(9.55*ACCTM_2))</f>
        <v>#N/A</v>
      </c>
      <c r="H77" s="551"/>
      <c r="I77" s="552"/>
      <c r="J77" s="593"/>
      <c r="K77" s="546"/>
      <c r="L77" s="546"/>
      <c r="M77" s="546"/>
      <c r="N77" s="546"/>
      <c r="O77" s="546"/>
      <c r="P77" s="546"/>
      <c r="Q77" s="546"/>
      <c r="R77" s="546"/>
      <c r="S77" s="546"/>
      <c r="T77" s="546"/>
      <c r="U77" s="546"/>
    </row>
    <row r="78" spans="1:24" hidden="1" x14ac:dyDescent="0.25">
      <c r="A78" s="547"/>
      <c r="B78" s="548"/>
      <c r="C78" s="548"/>
      <c r="D78" s="548"/>
      <c r="E78" s="548"/>
      <c r="F78" s="554"/>
      <c r="G78" s="550"/>
      <c r="H78" s="551"/>
      <c r="I78" s="552"/>
      <c r="J78" s="553"/>
      <c r="K78" s="546"/>
      <c r="L78" s="546"/>
      <c r="M78" s="546"/>
      <c r="N78" s="546"/>
      <c r="O78" s="546"/>
      <c r="P78" s="546"/>
      <c r="Q78" s="546"/>
      <c r="R78" s="546"/>
      <c r="S78" s="546"/>
      <c r="T78" s="546"/>
      <c r="U78" s="546"/>
    </row>
    <row r="79" spans="1:24" hidden="1" x14ac:dyDescent="0.25">
      <c r="A79" s="547"/>
      <c r="B79" s="548"/>
      <c r="C79" s="592" t="s">
        <v>946</v>
      </c>
      <c r="D79" s="590">
        <f>StrMaxSp*12</f>
        <v>1440</v>
      </c>
      <c r="E79" s="548"/>
      <c r="F79" s="555"/>
      <c r="G79" s="550"/>
      <c r="H79" s="551"/>
      <c r="I79" s="555"/>
      <c r="J79" s="555"/>
      <c r="K79" s="546"/>
      <c r="L79" s="546"/>
      <c r="M79" s="546"/>
      <c r="N79" s="546"/>
      <c r="O79" s="546"/>
      <c r="P79" s="546"/>
      <c r="Q79" s="546"/>
      <c r="R79" s="546"/>
      <c r="S79" s="546"/>
      <c r="T79" s="546"/>
      <c r="U79" s="546"/>
    </row>
    <row r="80" spans="1:24" hidden="1" x14ac:dyDescent="0.25">
      <c r="A80" s="547"/>
      <c r="B80" s="548"/>
      <c r="C80" s="548"/>
      <c r="D80" s="548"/>
      <c r="E80" s="548"/>
      <c r="F80" s="554"/>
      <c r="G80" s="550"/>
      <c r="H80" s="551"/>
      <c r="I80" s="1051" t="str">
        <f>IF(AND(application="Cut to Length", $E$19&gt;5), " Shear Cycle Time Must be below 5 sec.", IF(AND(application="Press Feed", $E$19&lt;=5), " Feed Angle Cannot be below 5 deg.", IF(AND(application="Cut to Length", $E$20&gt;5), " Shear Cycle Time Must be below 5 sec.", IF(AND(application="Press Feed", $E$20&lt;=5), " Feed Angle Cannot be below 5 deg.", ""))))</f>
        <v/>
      </c>
      <c r="J80" s="1051"/>
      <c r="K80" s="1051"/>
      <c r="L80" s="1051"/>
      <c r="M80" s="546"/>
      <c r="N80" s="546"/>
      <c r="O80" s="546"/>
      <c r="P80" s="546"/>
      <c r="Q80" s="546"/>
      <c r="R80" s="546"/>
      <c r="S80" s="546"/>
      <c r="T80" s="546"/>
      <c r="U80" s="546"/>
    </row>
    <row r="81" spans="1:21" hidden="1" x14ac:dyDescent="0.25">
      <c r="C81" s="548"/>
      <c r="D81" s="548"/>
      <c r="E81" s="548"/>
      <c r="F81" s="554"/>
      <c r="G81" s="550"/>
      <c r="H81" s="551"/>
      <c r="I81" s="552"/>
      <c r="J81" s="553"/>
      <c r="K81" s="546"/>
      <c r="L81" s="546"/>
      <c r="M81" s="546"/>
      <c r="N81" s="546"/>
      <c r="O81" s="546"/>
      <c r="P81" s="546"/>
      <c r="Q81" s="546"/>
      <c r="R81" s="546"/>
      <c r="S81" s="546"/>
      <c r="T81" s="546"/>
      <c r="U81" s="546"/>
    </row>
    <row r="82" spans="1:21" hidden="1" x14ac:dyDescent="0.25">
      <c r="C82" s="548"/>
      <c r="D82" s="548"/>
      <c r="E82" s="548"/>
      <c r="F82" s="555"/>
      <c r="G82" s="550"/>
      <c r="H82" s="551"/>
      <c r="I82" s="555"/>
      <c r="J82" s="555"/>
      <c r="K82" s="546"/>
      <c r="L82" s="546"/>
      <c r="M82" s="546"/>
      <c r="N82" s="546"/>
      <c r="O82" s="546"/>
      <c r="P82" s="546"/>
      <c r="Q82" s="546"/>
      <c r="R82" s="546"/>
      <c r="S82" s="546"/>
      <c r="T82" s="546"/>
      <c r="U82" s="546"/>
    </row>
    <row r="83" spans="1:21" hidden="1" x14ac:dyDescent="0.25">
      <c r="C83" s="548"/>
      <c r="D83" s="548"/>
      <c r="E83" s="548"/>
      <c r="F83" s="554"/>
      <c r="G83" s="550"/>
      <c r="H83" s="551"/>
      <c r="I83" s="552"/>
      <c r="J83" s="553"/>
      <c r="K83" s="546"/>
      <c r="L83" s="546"/>
      <c r="M83" s="546"/>
      <c r="N83" s="546"/>
      <c r="O83" s="546"/>
      <c r="P83" s="546"/>
      <c r="Q83" s="546"/>
      <c r="R83" s="546"/>
      <c r="S83" s="546"/>
      <c r="T83" s="546"/>
      <c r="U83" s="546"/>
    </row>
    <row r="84" spans="1:21" hidden="1" x14ac:dyDescent="0.25">
      <c r="C84" s="548"/>
      <c r="D84" s="548"/>
      <c r="E84" s="548"/>
      <c r="F84" s="554"/>
      <c r="G84" s="550"/>
      <c r="H84" s="551"/>
      <c r="I84" s="552"/>
      <c r="J84" s="553"/>
      <c r="K84" s="546"/>
      <c r="L84" s="546"/>
      <c r="M84" s="546"/>
      <c r="N84" s="546"/>
      <c r="O84" s="546"/>
      <c r="P84" s="546"/>
      <c r="Q84" s="546"/>
      <c r="R84" s="546"/>
      <c r="S84" s="546"/>
      <c r="T84" s="546"/>
      <c r="U84" s="546"/>
    </row>
    <row r="85" spans="1:21" hidden="1" x14ac:dyDescent="0.25">
      <c r="C85" s="548"/>
      <c r="D85" s="548"/>
      <c r="E85" s="548"/>
      <c r="F85" s="555"/>
      <c r="G85" s="550"/>
      <c r="H85" s="551"/>
      <c r="I85" s="555"/>
      <c r="J85" s="555"/>
      <c r="K85" s="546"/>
      <c r="L85" s="546"/>
      <c r="M85" s="546"/>
      <c r="N85" s="546"/>
      <c r="O85" s="546"/>
      <c r="P85" s="546"/>
      <c r="Q85" s="546"/>
      <c r="R85" s="546"/>
      <c r="S85" s="546"/>
      <c r="T85" s="546"/>
      <c r="U85" s="546"/>
    </row>
    <row r="86" spans="1:21" hidden="1" x14ac:dyDescent="0.25">
      <c r="C86" s="548"/>
      <c r="D86" s="548"/>
      <c r="E86" s="548"/>
      <c r="F86" s="554"/>
      <c r="G86" s="550"/>
      <c r="H86" s="551"/>
      <c r="I86" s="552"/>
      <c r="J86" s="553"/>
      <c r="K86" s="546"/>
      <c r="L86" s="546"/>
      <c r="M86" s="546"/>
      <c r="N86" s="546"/>
      <c r="O86" s="546"/>
      <c r="P86" s="546"/>
      <c r="Q86" s="546"/>
      <c r="R86" s="546"/>
      <c r="S86" s="546"/>
      <c r="T86" s="546"/>
      <c r="U86" s="546"/>
    </row>
    <row r="87" spans="1:21" hidden="1" x14ac:dyDescent="0.25">
      <c r="C87" s="548"/>
      <c r="D87" s="548"/>
      <c r="E87" s="548"/>
      <c r="F87" s="554"/>
      <c r="G87" s="550"/>
      <c r="H87" s="551"/>
      <c r="I87" s="552"/>
      <c r="J87" s="553"/>
      <c r="K87" s="546"/>
      <c r="L87" s="546"/>
      <c r="M87" s="546"/>
      <c r="N87" s="546"/>
      <c r="O87" s="546"/>
      <c r="P87" s="546"/>
      <c r="Q87" s="546"/>
      <c r="R87" s="546"/>
      <c r="S87" s="546"/>
      <c r="T87" s="546"/>
      <c r="U87" s="546"/>
    </row>
    <row r="88" spans="1:21" hidden="1" x14ac:dyDescent="0.25">
      <c r="C88" s="548"/>
      <c r="D88" s="548"/>
      <c r="E88" s="548"/>
      <c r="F88" s="555"/>
      <c r="G88" s="550"/>
      <c r="H88" s="551"/>
      <c r="I88" s="555"/>
      <c r="J88" s="555"/>
      <c r="K88" s="546"/>
      <c r="L88" s="546"/>
      <c r="M88" s="546"/>
      <c r="N88" s="546"/>
      <c r="O88" s="546"/>
      <c r="P88" s="546"/>
      <c r="Q88" s="546"/>
      <c r="R88" s="546"/>
      <c r="S88" s="546"/>
      <c r="T88" s="546"/>
      <c r="U88" s="546"/>
    </row>
    <row r="89" spans="1:21" hidden="1" x14ac:dyDescent="0.25">
      <c r="C89" s="548"/>
      <c r="D89" s="548"/>
      <c r="E89" s="548"/>
      <c r="F89" s="554"/>
      <c r="G89" s="550"/>
      <c r="H89" s="551"/>
      <c r="I89" s="552"/>
      <c r="J89" s="553"/>
      <c r="K89" s="546"/>
      <c r="L89" s="546"/>
      <c r="M89" s="546"/>
      <c r="N89" s="546"/>
      <c r="O89" s="546"/>
      <c r="P89" s="546"/>
      <c r="Q89" s="546"/>
      <c r="R89" s="546"/>
      <c r="S89" s="546"/>
      <c r="T89" s="546"/>
      <c r="U89" s="546"/>
    </row>
    <row r="90" spans="1:21" hidden="1" x14ac:dyDescent="0.25">
      <c r="C90" s="548"/>
      <c r="D90" s="548"/>
      <c r="E90" s="548"/>
      <c r="F90" s="554"/>
      <c r="G90" s="550"/>
      <c r="H90" s="551"/>
      <c r="I90" s="552"/>
      <c r="J90" s="553"/>
      <c r="K90" s="546"/>
      <c r="L90" s="546"/>
      <c r="M90" s="546"/>
      <c r="N90" s="546"/>
      <c r="O90" s="546"/>
      <c r="P90" s="546"/>
      <c r="Q90" s="546"/>
      <c r="R90" s="546"/>
      <c r="S90" s="546"/>
      <c r="T90" s="546"/>
      <c r="U90" s="546"/>
    </row>
    <row r="91" spans="1:21" hidden="1" x14ac:dyDescent="0.25">
      <c r="C91" s="548"/>
      <c r="D91" s="548"/>
      <c r="E91" s="548"/>
      <c r="F91" s="555"/>
      <c r="G91" s="550"/>
      <c r="H91" s="551"/>
      <c r="I91" s="555"/>
      <c r="J91" s="555"/>
      <c r="K91" s="546"/>
      <c r="L91" s="546"/>
      <c r="M91" s="546"/>
      <c r="N91" s="546"/>
      <c r="O91" s="546"/>
      <c r="P91" s="546"/>
      <c r="Q91" s="546"/>
      <c r="R91" s="546"/>
      <c r="S91" s="546"/>
      <c r="T91" s="546"/>
      <c r="U91" s="546"/>
    </row>
    <row r="92" spans="1:21" hidden="1" x14ac:dyDescent="0.25">
      <c r="A92" s="547"/>
      <c r="B92" s="548"/>
      <c r="C92" s="548"/>
      <c r="D92" s="548"/>
      <c r="E92" s="548"/>
      <c r="F92" s="554"/>
      <c r="G92" s="550"/>
      <c r="H92" s="551"/>
      <c r="I92" s="552"/>
      <c r="J92" s="553"/>
      <c r="K92" s="546"/>
      <c r="L92" s="546"/>
      <c r="M92" s="546"/>
      <c r="N92" s="546"/>
      <c r="O92" s="546"/>
      <c r="P92" s="546"/>
      <c r="Q92" s="546"/>
      <c r="R92" s="546"/>
      <c r="S92" s="546"/>
      <c r="T92" s="546"/>
      <c r="U92" s="546"/>
    </row>
    <row r="93" spans="1:21" s="527" customFormat="1" hidden="1" x14ac:dyDescent="0.25">
      <c r="A93" s="241"/>
      <c r="B93" s="548"/>
      <c r="C93" s="548"/>
      <c r="D93" s="548"/>
      <c r="E93" s="548"/>
      <c r="F93" s="554"/>
      <c r="G93" s="550"/>
      <c r="H93" s="551"/>
      <c r="I93" s="552"/>
      <c r="J93" s="553"/>
    </row>
    <row r="94" spans="1:21" s="527" customFormat="1" hidden="1" x14ac:dyDescent="0.25">
      <c r="A94" s="241"/>
      <c r="B94" s="548"/>
      <c r="C94" s="548"/>
      <c r="D94" s="548"/>
      <c r="E94" s="548"/>
      <c r="F94" s="555"/>
      <c r="G94" s="550"/>
      <c r="H94" s="551"/>
      <c r="I94" s="555"/>
      <c r="J94" s="555"/>
    </row>
    <row r="95" spans="1:21" s="527" customFormat="1" hidden="1" x14ac:dyDescent="0.25">
      <c r="A95" s="241"/>
      <c r="B95" s="548"/>
      <c r="C95" s="548"/>
      <c r="D95" s="548"/>
      <c r="E95" s="548"/>
      <c r="F95" s="555"/>
      <c r="G95" s="550"/>
      <c r="H95" s="551"/>
      <c r="I95" s="552"/>
      <c r="J95" s="553"/>
    </row>
    <row r="96" spans="1:21" s="527" customFormat="1" hidden="1" x14ac:dyDescent="0.25">
      <c r="A96" s="241"/>
      <c r="B96" s="242"/>
      <c r="C96" s="242"/>
      <c r="D96" s="242"/>
      <c r="E96" s="242"/>
      <c r="F96" s="242"/>
      <c r="G96" s="242"/>
      <c r="H96" s="242"/>
      <c r="I96" s="242"/>
      <c r="J96" s="242"/>
    </row>
    <row r="97" spans="1:20" s="527" customFormat="1" hidden="1" x14ac:dyDescent="0.25">
      <c r="I97" s="594"/>
      <c r="T97" s="555"/>
    </row>
    <row r="98" spans="1:20" s="527" customFormat="1" hidden="1" x14ac:dyDescent="0.25">
      <c r="I98" s="594"/>
      <c r="T98" s="555"/>
    </row>
    <row r="99" spans="1:20" s="527" customFormat="1" hidden="1" x14ac:dyDescent="0.25">
      <c r="I99" s="594"/>
      <c r="T99" s="555"/>
    </row>
    <row r="100" spans="1:20" s="527" customFormat="1" hidden="1" x14ac:dyDescent="0.25">
      <c r="I100" s="594"/>
      <c r="T100" s="555"/>
    </row>
    <row r="101" spans="1:20" s="527" customFormat="1" hidden="1" x14ac:dyDescent="0.25">
      <c r="A101" s="600" t="s">
        <v>1051</v>
      </c>
      <c r="B101" s="600"/>
      <c r="I101" s="594"/>
      <c r="T101" s="555"/>
    </row>
    <row r="102" spans="1:20" s="527" customFormat="1" hidden="1" x14ac:dyDescent="0.25">
      <c r="A102" s="600" t="s">
        <v>908</v>
      </c>
      <c r="B102" s="600" t="e">
        <f ca="1">INDIRECT("'" &amp; A$101 &amp; "'!" &amp; A102)</f>
        <v>#N/A</v>
      </c>
      <c r="I102" s="594"/>
      <c r="T102" s="555"/>
    </row>
    <row r="103" spans="1:20" s="527" customFormat="1" hidden="1" x14ac:dyDescent="0.25">
      <c r="A103" s="600" t="s">
        <v>909</v>
      </c>
      <c r="B103" s="600" t="e">
        <f t="shared" ref="B103:B111" ca="1" si="2">INDIRECT("'" &amp; A$101 &amp; "'!" &amp; A103)</f>
        <v>#N/A</v>
      </c>
      <c r="I103" s="594"/>
      <c r="T103" s="555"/>
    </row>
    <row r="104" spans="1:20" s="527" customFormat="1" hidden="1" x14ac:dyDescent="0.25">
      <c r="A104" s="602" t="s">
        <v>912</v>
      </c>
      <c r="B104" s="603" t="e">
        <f t="shared" ca="1" si="2"/>
        <v>#N/A</v>
      </c>
      <c r="C104" s="555"/>
      <c r="D104" s="555"/>
      <c r="E104" s="555"/>
      <c r="F104" s="555"/>
      <c r="G104" s="555"/>
      <c r="H104" s="555"/>
      <c r="I104" s="555"/>
      <c r="J104" s="555"/>
    </row>
    <row r="105" spans="1:20" s="527" customFormat="1" hidden="1" x14ac:dyDescent="0.25">
      <c r="A105" s="602" t="s">
        <v>913</v>
      </c>
      <c r="B105" s="604" t="e">
        <f t="shared" ca="1" si="2"/>
        <v>#N/A</v>
      </c>
      <c r="C105" s="554"/>
      <c r="D105" s="554"/>
      <c r="E105" s="554"/>
      <c r="F105" s="554"/>
      <c r="G105" s="554"/>
      <c r="H105" s="554"/>
      <c r="I105" s="554"/>
      <c r="J105" s="554"/>
    </row>
    <row r="106" spans="1:20" s="527" customFormat="1" hidden="1" x14ac:dyDescent="0.25">
      <c r="A106" s="602" t="s">
        <v>915</v>
      </c>
      <c r="B106" s="604" t="e">
        <f t="shared" ca="1" si="2"/>
        <v>#N/A</v>
      </c>
      <c r="C106" s="554"/>
      <c r="D106" s="554"/>
      <c r="E106" s="554"/>
      <c r="F106" s="554"/>
      <c r="G106" s="558"/>
      <c r="H106" s="559"/>
      <c r="I106" s="554"/>
      <c r="J106" s="559"/>
    </row>
    <row r="107" spans="1:20" s="527" customFormat="1" hidden="1" x14ac:dyDescent="0.25">
      <c r="A107" s="602" t="s">
        <v>916</v>
      </c>
      <c r="B107" s="604" t="e">
        <f t="shared" ca="1" si="2"/>
        <v>#N/A</v>
      </c>
      <c r="C107" s="555"/>
      <c r="D107" s="555"/>
      <c r="E107" s="555"/>
      <c r="F107" s="555"/>
      <c r="G107" s="555"/>
      <c r="H107" s="555"/>
      <c r="I107" s="555"/>
      <c r="J107" s="555"/>
    </row>
    <row r="108" spans="1:20" s="527" customFormat="1" hidden="1" x14ac:dyDescent="0.25">
      <c r="A108" s="602" t="s">
        <v>918</v>
      </c>
      <c r="B108" s="604" t="e">
        <f t="shared" ca="1" si="2"/>
        <v>#N/A</v>
      </c>
      <c r="C108" s="555"/>
      <c r="D108" s="555"/>
      <c r="E108" s="555"/>
      <c r="F108" s="555"/>
      <c r="G108" s="555"/>
      <c r="H108" s="555"/>
      <c r="I108" s="555"/>
      <c r="J108" s="555"/>
    </row>
    <row r="109" spans="1:20" s="527" customFormat="1" hidden="1" x14ac:dyDescent="0.25">
      <c r="A109" s="602" t="s">
        <v>919</v>
      </c>
      <c r="B109" s="603" t="e">
        <f t="shared" ca="1" si="2"/>
        <v>#N/A</v>
      </c>
      <c r="C109" s="555"/>
      <c r="D109" s="555"/>
      <c r="E109" s="555"/>
      <c r="F109" s="555"/>
      <c r="G109" s="555"/>
      <c r="H109" s="555"/>
      <c r="I109" s="555"/>
      <c r="J109" s="555"/>
    </row>
    <row r="110" spans="1:20" s="527" customFormat="1" hidden="1" x14ac:dyDescent="0.25">
      <c r="A110" s="602" t="s">
        <v>932</v>
      </c>
      <c r="B110" s="603" t="e">
        <f t="shared" ca="1" si="2"/>
        <v>#N/A</v>
      </c>
      <c r="C110" s="555"/>
      <c r="D110" s="555"/>
      <c r="E110" s="555"/>
      <c r="F110" s="555"/>
      <c r="G110" s="555"/>
      <c r="H110" s="555"/>
      <c r="I110" s="555"/>
      <c r="J110" s="555"/>
    </row>
    <row r="111" spans="1:20" s="527" customFormat="1" hidden="1" x14ac:dyDescent="0.25">
      <c r="A111" s="602" t="s">
        <v>933</v>
      </c>
      <c r="B111" s="605" t="e">
        <f t="shared" ca="1" si="2"/>
        <v>#N/A</v>
      </c>
      <c r="C111" s="555"/>
      <c r="D111" s="555"/>
      <c r="E111" s="555"/>
      <c r="F111" s="555"/>
      <c r="G111" s="555"/>
      <c r="H111" s="555"/>
      <c r="I111" s="555"/>
      <c r="J111" s="555"/>
    </row>
    <row r="112" spans="1:20" s="527" customFormat="1" hidden="1" x14ac:dyDescent="0.25">
      <c r="A112" s="600"/>
      <c r="B112" s="600"/>
      <c r="I112" s="594"/>
    </row>
    <row r="113" spans="1:9" s="527" customFormat="1" hidden="1" x14ac:dyDescent="0.25">
      <c r="A113" s="600"/>
      <c r="B113" s="600"/>
      <c r="I113" s="594"/>
    </row>
    <row r="114" spans="1:9" s="527" customFormat="1" hidden="1" x14ac:dyDescent="0.25">
      <c r="A114" s="600" t="s">
        <v>1052</v>
      </c>
      <c r="B114" s="600"/>
      <c r="I114" s="594"/>
    </row>
    <row r="115" spans="1:9" s="527" customFormat="1" hidden="1" x14ac:dyDescent="0.25">
      <c r="A115" s="600" t="s">
        <v>917</v>
      </c>
      <c r="B115" s="600" t="e">
        <f ca="1">INDIRECT("'" &amp; A$114 &amp; "'!" &amp; A115)</f>
        <v>#N/A</v>
      </c>
      <c r="I115" s="594"/>
    </row>
    <row r="116" spans="1:9" s="527" customFormat="1" hidden="1" x14ac:dyDescent="0.25">
      <c r="A116" s="600" t="s">
        <v>490</v>
      </c>
      <c r="B116" s="600" t="e">
        <f t="shared" ref="B116:B123" ca="1" si="3">INDIRECT("'" &amp; A$114 &amp; "'!" &amp; A116)</f>
        <v>#N/A</v>
      </c>
      <c r="I116" s="594"/>
    </row>
    <row r="117" spans="1:9" s="527" customFormat="1" hidden="1" x14ac:dyDescent="0.25">
      <c r="A117" s="600" t="s">
        <v>920</v>
      </c>
      <c r="B117" s="600" t="e">
        <f t="shared" ca="1" si="3"/>
        <v>#N/A</v>
      </c>
      <c r="I117" s="594"/>
    </row>
    <row r="118" spans="1:9" s="527" customFormat="1" hidden="1" x14ac:dyDescent="0.25">
      <c r="A118" s="600" t="s">
        <v>921</v>
      </c>
      <c r="B118" s="600" t="e">
        <f t="shared" ca="1" si="3"/>
        <v>#N/A</v>
      </c>
      <c r="I118" s="594"/>
    </row>
    <row r="119" spans="1:9" s="527" customFormat="1" hidden="1" x14ac:dyDescent="0.25">
      <c r="A119" s="600" t="s">
        <v>922</v>
      </c>
      <c r="B119" s="600" t="e">
        <f t="shared" ca="1" si="3"/>
        <v>#N/A</v>
      </c>
      <c r="I119" s="594"/>
    </row>
    <row r="120" spans="1:9" s="527" customFormat="1" hidden="1" x14ac:dyDescent="0.25">
      <c r="A120" s="600" t="s">
        <v>928</v>
      </c>
      <c r="B120" s="600" t="e">
        <f t="shared" ca="1" si="3"/>
        <v>#N/A</v>
      </c>
      <c r="I120" s="594"/>
    </row>
    <row r="121" spans="1:9" s="527" customFormat="1" hidden="1" x14ac:dyDescent="0.25">
      <c r="A121" s="600" t="s">
        <v>939</v>
      </c>
      <c r="B121" s="600" t="e">
        <f t="shared" ca="1" si="3"/>
        <v>#N/A</v>
      </c>
      <c r="I121" s="594"/>
    </row>
    <row r="122" spans="1:9" s="527" customFormat="1" hidden="1" x14ac:dyDescent="0.25">
      <c r="A122" s="600" t="s">
        <v>947</v>
      </c>
      <c r="B122" s="600" t="e">
        <f t="shared" ca="1" si="3"/>
        <v>#N/A</v>
      </c>
      <c r="I122" s="594"/>
    </row>
    <row r="123" spans="1:9" s="527" customFormat="1" hidden="1" x14ac:dyDescent="0.25">
      <c r="A123" s="600" t="s">
        <v>948</v>
      </c>
      <c r="B123" s="600" t="e">
        <f t="shared" ca="1" si="3"/>
        <v>#N/A</v>
      </c>
      <c r="I123" s="594"/>
    </row>
    <row r="124" spans="1:9" s="527" customFormat="1" hidden="1" x14ac:dyDescent="0.25">
      <c r="I124" s="594"/>
    </row>
    <row r="125" spans="1:9" s="527" customFormat="1" hidden="1" x14ac:dyDescent="0.25">
      <c r="I125" s="594"/>
    </row>
    <row r="126" spans="1:9" s="527" customFormat="1" x14ac:dyDescent="0.25">
      <c r="I126" s="594"/>
    </row>
    <row r="127" spans="1:9" s="527" customFormat="1" x14ac:dyDescent="0.25">
      <c r="I127" s="594"/>
    </row>
    <row r="128" spans="1:9" s="527" customFormat="1" x14ac:dyDescent="0.25">
      <c r="I128" s="594"/>
    </row>
    <row r="129" spans="9:9" s="527" customFormat="1" x14ac:dyDescent="0.25">
      <c r="I129" s="594"/>
    </row>
    <row r="130" spans="9:9" s="527" customFormat="1" x14ac:dyDescent="0.25">
      <c r="I130" s="594"/>
    </row>
    <row r="131" spans="9:9" s="527" customFormat="1" x14ac:dyDescent="0.25">
      <c r="I131" s="594"/>
    </row>
    <row r="132" spans="9:9" s="527" customFormat="1" x14ac:dyDescent="0.25">
      <c r="I132" s="594"/>
    </row>
    <row r="133" spans="9:9" s="527" customFormat="1" x14ac:dyDescent="0.25">
      <c r="I133" s="594"/>
    </row>
    <row r="134" spans="9:9" s="527" customFormat="1" x14ac:dyDescent="0.25">
      <c r="I134" s="594"/>
    </row>
    <row r="135" spans="9:9" s="527" customFormat="1" x14ac:dyDescent="0.25">
      <c r="I135" s="594"/>
    </row>
    <row r="136" spans="9:9" s="527" customFormat="1" x14ac:dyDescent="0.25">
      <c r="I136" s="594"/>
    </row>
    <row r="137" spans="9:9" s="527" customFormat="1" x14ac:dyDescent="0.25">
      <c r="I137" s="594"/>
    </row>
    <row r="138" spans="9:9" s="527" customFormat="1" x14ac:dyDescent="0.25">
      <c r="I138" s="594"/>
    </row>
    <row r="139" spans="9:9" s="527" customFormat="1" x14ac:dyDescent="0.25">
      <c r="I139" s="594"/>
    </row>
    <row r="140" spans="9:9" s="527" customFormat="1" x14ac:dyDescent="0.25">
      <c r="I140" s="594"/>
    </row>
    <row r="141" spans="9:9" s="527" customFormat="1" x14ac:dyDescent="0.25">
      <c r="I141" s="594"/>
    </row>
    <row r="142" spans="9:9" s="527" customFormat="1" x14ac:dyDescent="0.25">
      <c r="I142" s="594"/>
    </row>
    <row r="143" spans="9:9" s="527" customFormat="1" x14ac:dyDescent="0.25">
      <c r="I143" s="594"/>
    </row>
    <row r="144" spans="9:9" s="527" customFormat="1" x14ac:dyDescent="0.25">
      <c r="I144" s="594"/>
    </row>
    <row r="145" spans="9:9" s="527" customFormat="1" x14ac:dyDescent="0.25">
      <c r="I145" s="594"/>
    </row>
    <row r="146" spans="9:9" s="527" customFormat="1" x14ac:dyDescent="0.25">
      <c r="I146" s="594"/>
    </row>
    <row r="147" spans="9:9" s="527" customFormat="1" x14ac:dyDescent="0.25">
      <c r="I147" s="594"/>
    </row>
    <row r="148" spans="9:9" s="527" customFormat="1" x14ac:dyDescent="0.25">
      <c r="I148" s="594"/>
    </row>
    <row r="149" spans="9:9" s="527" customFormat="1" x14ac:dyDescent="0.25">
      <c r="I149" s="594"/>
    </row>
    <row r="150" spans="9:9" s="527" customFormat="1" x14ac:dyDescent="0.25">
      <c r="I150" s="594"/>
    </row>
    <row r="151" spans="9:9" s="527" customFormat="1" x14ac:dyDescent="0.25">
      <c r="I151" s="594"/>
    </row>
    <row r="152" spans="9:9" s="527" customFormat="1" x14ac:dyDescent="0.25">
      <c r="I152" s="594"/>
    </row>
    <row r="153" spans="9:9" s="527" customFormat="1" x14ac:dyDescent="0.25">
      <c r="I153" s="594"/>
    </row>
    <row r="154" spans="9:9" s="527" customFormat="1" x14ac:dyDescent="0.25">
      <c r="I154" s="594"/>
    </row>
    <row r="155" spans="9:9" s="527" customFormat="1" x14ac:dyDescent="0.25">
      <c r="I155" s="594"/>
    </row>
    <row r="156" spans="9:9" s="527" customFormat="1" x14ac:dyDescent="0.25">
      <c r="I156" s="594"/>
    </row>
    <row r="157" spans="9:9" s="527" customFormat="1" x14ac:dyDescent="0.25">
      <c r="I157" s="594"/>
    </row>
    <row r="158" spans="9:9" s="527" customFormat="1" x14ac:dyDescent="0.25">
      <c r="I158" s="594"/>
    </row>
    <row r="159" spans="9:9" s="527" customFormat="1" x14ac:dyDescent="0.25">
      <c r="I159" s="594"/>
    </row>
    <row r="160" spans="9:9" s="527" customFormat="1" x14ac:dyDescent="0.25">
      <c r="I160" s="594"/>
    </row>
    <row r="161" spans="9:9" s="527" customFormat="1" x14ac:dyDescent="0.25">
      <c r="I161" s="594"/>
    </row>
    <row r="162" spans="9:9" s="527" customFormat="1" x14ac:dyDescent="0.25">
      <c r="I162" s="594"/>
    </row>
    <row r="163" spans="9:9" s="527" customFormat="1" x14ac:dyDescent="0.25">
      <c r="I163" s="594"/>
    </row>
    <row r="164" spans="9:9" s="527" customFormat="1" x14ac:dyDescent="0.25">
      <c r="I164" s="594"/>
    </row>
    <row r="165" spans="9:9" s="527" customFormat="1" x14ac:dyDescent="0.25">
      <c r="I165" s="594"/>
    </row>
    <row r="166" spans="9:9" s="527" customFormat="1" x14ac:dyDescent="0.25">
      <c r="I166" s="594"/>
    </row>
    <row r="167" spans="9:9" s="527" customFormat="1" x14ac:dyDescent="0.25">
      <c r="I167" s="594"/>
    </row>
    <row r="168" spans="9:9" s="527" customFormat="1" x14ac:dyDescent="0.25">
      <c r="I168" s="594"/>
    </row>
    <row r="169" spans="9:9" s="527" customFormat="1" x14ac:dyDescent="0.25">
      <c r="I169" s="594"/>
    </row>
    <row r="170" spans="9:9" s="527" customFormat="1" x14ac:dyDescent="0.25">
      <c r="I170" s="594"/>
    </row>
    <row r="171" spans="9:9" s="527" customFormat="1" x14ac:dyDescent="0.25">
      <c r="I171" s="594"/>
    </row>
    <row r="172" spans="9:9" s="527" customFormat="1" x14ac:dyDescent="0.25">
      <c r="I172" s="594"/>
    </row>
    <row r="173" spans="9:9" s="527" customFormat="1" x14ac:dyDescent="0.25">
      <c r="I173" s="594"/>
    </row>
    <row r="174" spans="9:9" s="527" customFormat="1" x14ac:dyDescent="0.25">
      <c r="I174" s="594"/>
    </row>
    <row r="175" spans="9:9" s="527" customFormat="1" x14ac:dyDescent="0.25">
      <c r="I175" s="594"/>
    </row>
    <row r="176" spans="9:9" s="527" customFormat="1" x14ac:dyDescent="0.25">
      <c r="I176" s="594"/>
    </row>
    <row r="177" spans="9:9" s="527" customFormat="1" x14ac:dyDescent="0.25">
      <c r="I177" s="594"/>
    </row>
    <row r="178" spans="9:9" s="527" customFormat="1" x14ac:dyDescent="0.25">
      <c r="I178" s="594"/>
    </row>
    <row r="179" spans="9:9" s="527" customFormat="1" x14ac:dyDescent="0.25">
      <c r="I179" s="594"/>
    </row>
    <row r="180" spans="9:9" s="527" customFormat="1" x14ac:dyDescent="0.25">
      <c r="I180" s="594"/>
    </row>
    <row r="181" spans="9:9" s="527" customFormat="1" x14ac:dyDescent="0.25">
      <c r="I181" s="594"/>
    </row>
  </sheetData>
  <sheetProtection algorithmName="SHA-512" hashValue="4itrqFg+g20Ij9s+17BA1hjcZU85Ou6+jqSpvEQd53qOUCWlz24HJcnpeSK2g60Fkxlnulrrr0krj9X2+iOjpw==" saltValue="aUdh75DzlKPOfTv+43/r1A==" spinCount="100000" sheet="1" objects="1" scenarios="1"/>
  <mergeCells count="8">
    <mergeCell ref="M1:N1"/>
    <mergeCell ref="E12:F12"/>
    <mergeCell ref="I80:L80"/>
    <mergeCell ref="B4:D4"/>
    <mergeCell ref="A14:A15"/>
    <mergeCell ref="B6:D6"/>
    <mergeCell ref="B5:D5"/>
    <mergeCell ref="B9:C9"/>
  </mergeCells>
  <conditionalFormatting sqref="H75 I22:I25">
    <cfRule type="expression" dxfId="5" priority="7">
      <formula>H22="OK"</formula>
    </cfRule>
    <cfRule type="expression" dxfId="4" priority="8">
      <formula>H22="EXCESS"</formula>
    </cfRule>
  </conditionalFormatting>
  <conditionalFormatting sqref="B10">
    <cfRule type="cellIs" dxfId="3" priority="1" operator="lessThan">
      <formula>MatWidth</formula>
    </cfRule>
  </conditionalFormatting>
  <dataValidations count="3">
    <dataValidation type="list" allowBlank="1" showInputMessage="1" showErrorMessage="1" sqref="B9:C9" xr:uid="{A29E270B-21FD-483D-8D04-7074EDE04726}">
      <formula1>ABModels</formula1>
    </dataValidation>
    <dataValidation type="list" allowBlank="1" showInputMessage="1" showErrorMessage="1" sqref="B10" xr:uid="{9958296C-BC69-4263-A438-CD417632A5FA}">
      <formula1>ABWidths</formula1>
    </dataValidation>
    <dataValidation type="list" allowBlank="1" showInputMessage="1" showErrorMessage="1" sqref="B11 B12" xr:uid="{DFACE000-3A0D-447E-8A6D-9F035B03B32F}">
      <formula1>LookupYN</formula1>
    </dataValidation>
  </dataValidations>
  <pageMargins left="0.75" right="0.25" top="0.75" bottom="0.75" header="0.3" footer="0.3"/>
  <pageSetup scale="5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8855" r:id="rId4" name="Button 7">
              <controlPr defaultSize="0" print="0" autoFill="0" autoPict="0" macro="[0]!Tbl_Contents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342900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5" r:id="rId5" name="Button 17">
              <controlPr defaultSize="0" print="0" autoFill="0" autoPict="0" macro="[0]!JumpToBackbend">
                <anchor moveWithCells="1" sizeWithCells="1">
                  <from>
                    <xdr:col>20</xdr:col>
                    <xdr:colOff>209550</xdr:colOff>
                    <xdr:row>32</xdr:row>
                    <xdr:rowOff>114300</xdr:rowOff>
                  </from>
                  <to>
                    <xdr:col>22</xdr:col>
                    <xdr:colOff>295275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6" r:id="rId6" name="Button 18">
              <controlPr defaultSize="0" print="0" autoFill="0" autoPict="0" macro="[0]!JumpToTDDBHD">
                <anchor moveWithCells="1" sizeWithCells="1">
                  <from>
                    <xdr:col>20</xdr:col>
                    <xdr:colOff>209550</xdr:colOff>
                    <xdr:row>30</xdr:row>
                    <xdr:rowOff>104775</xdr:rowOff>
                  </from>
                  <to>
                    <xdr:col>22</xdr:col>
                    <xdr:colOff>285750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7" r:id="rId7" name="Button 19">
              <controlPr defaultSize="0" print="0" autoFill="0" autoPict="0" macro="[0]!JumpToStrUtility">
                <anchor moveWithCells="1" sizeWithCells="1">
                  <from>
                    <xdr:col>20</xdr:col>
                    <xdr:colOff>200025</xdr:colOff>
                    <xdr:row>31</xdr:row>
                    <xdr:rowOff>114300</xdr:rowOff>
                  </from>
                  <to>
                    <xdr:col>22</xdr:col>
                    <xdr:colOff>295275</xdr:colOff>
                    <xdr:row>32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8" r:id="rId8" name="Button 20">
              <controlPr defaultSize="0" print="0" autoFill="0" autoPict="0" macro="[0]!JumpToEquipmentSummary">
                <anchor moveWithCells="1" sizeWithCells="1">
                  <from>
                    <xdr:col>20</xdr:col>
                    <xdr:colOff>200025</xdr:colOff>
                    <xdr:row>29</xdr:row>
                    <xdr:rowOff>95250</xdr:rowOff>
                  </from>
                  <to>
                    <xdr:col>22</xdr:col>
                    <xdr:colOff>295275</xdr:colOff>
                    <xdr:row>30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9" r:id="rId9" name="Button 21">
              <controlPr defaultSize="0" print="0" autoFill="0" autoPict="0" macro="[0]!JumpToRFQ">
                <anchor moveWithCells="1" sizeWithCells="1">
                  <from>
                    <xdr:col>20</xdr:col>
                    <xdr:colOff>200025</xdr:colOff>
                    <xdr:row>27</xdr:row>
                    <xdr:rowOff>85725</xdr:rowOff>
                  </from>
                  <to>
                    <xdr:col>22</xdr:col>
                    <xdr:colOff>295275</xdr:colOff>
                    <xdr:row>28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70" r:id="rId10" name="Button 22">
              <controlPr defaultSize="0" print="0" autoFill="0" autoPict="0" macro="[0]!JumpToMaterialSpecs">
                <anchor moveWithCells="1" sizeWithCells="1">
                  <from>
                    <xdr:col>20</xdr:col>
                    <xdr:colOff>200025</xdr:colOff>
                    <xdr:row>28</xdr:row>
                    <xdr:rowOff>85725</xdr:rowOff>
                  </from>
                  <to>
                    <xdr:col>22</xdr:col>
                    <xdr:colOff>295275</xdr:colOff>
                    <xdr:row>29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F11C6C-7006-4BE6-A799-AE9687D47CFD}">
  <sheetPr codeName="Sheet41">
    <tabColor rgb="FFFF0000"/>
  </sheetPr>
  <dimension ref="A1:L45"/>
  <sheetViews>
    <sheetView topLeftCell="A25" workbookViewId="0">
      <selection activeCell="A41" sqref="A41:F45"/>
    </sheetView>
  </sheetViews>
  <sheetFormatPr defaultRowHeight="15" x14ac:dyDescent="0.25"/>
  <cols>
    <col min="7" max="7" width="0" hidden="1" customWidth="1"/>
  </cols>
  <sheetData>
    <row r="1" spans="1:12" x14ac:dyDescent="0.25">
      <c r="A1" s="263" t="s">
        <v>519</v>
      </c>
      <c r="B1" s="264"/>
      <c r="C1" s="264"/>
      <c r="D1" s="264"/>
      <c r="E1" s="264"/>
      <c r="F1" s="264"/>
      <c r="G1" s="264"/>
      <c r="H1" s="264"/>
      <c r="I1" s="1011" t="s">
        <v>520</v>
      </c>
      <c r="J1" s="1012"/>
      <c r="K1" s="1013"/>
      <c r="L1" s="265"/>
    </row>
    <row r="2" spans="1:12" x14ac:dyDescent="0.25">
      <c r="A2" s="266" t="s">
        <v>521</v>
      </c>
      <c r="B2" s="265"/>
      <c r="C2" s="267" t="s">
        <v>522</v>
      </c>
      <c r="D2" s="265"/>
      <c r="E2" s="265"/>
      <c r="F2" s="265"/>
      <c r="G2" s="265"/>
      <c r="H2" s="265" t="s">
        <v>523</v>
      </c>
      <c r="I2" s="1014"/>
      <c r="J2" s="1015"/>
      <c r="K2" s="1016"/>
      <c r="L2" s="265"/>
    </row>
    <row r="3" spans="1:12" ht="15.75" thickBot="1" x14ac:dyDescent="0.3">
      <c r="A3" s="268"/>
      <c r="B3" s="269"/>
      <c r="C3" s="269"/>
      <c r="D3" s="269"/>
      <c r="E3" s="269"/>
      <c r="F3" s="269"/>
      <c r="G3" s="269"/>
      <c r="H3" s="269"/>
      <c r="I3" s="1017"/>
      <c r="J3" s="1018"/>
      <c r="K3" s="1019"/>
      <c r="L3" s="265"/>
    </row>
    <row r="4" spans="1:12" x14ac:dyDescent="0.25">
      <c r="A4" s="265"/>
      <c r="B4" s="265"/>
      <c r="C4" s="265"/>
      <c r="D4" s="265"/>
      <c r="E4" s="265"/>
      <c r="F4" s="265"/>
      <c r="G4" s="265"/>
      <c r="H4" s="270"/>
      <c r="I4" s="265"/>
      <c r="J4" s="265"/>
      <c r="K4" s="265"/>
      <c r="L4" s="265"/>
    </row>
    <row r="5" spans="1:12" x14ac:dyDescent="0.25">
      <c r="A5" s="271"/>
      <c r="B5" s="272" t="s">
        <v>524</v>
      </c>
      <c r="C5" s="273"/>
      <c r="D5" s="273"/>
      <c r="E5" s="273"/>
      <c r="F5" s="273"/>
      <c r="G5" s="273"/>
      <c r="H5" s="273"/>
      <c r="I5" s="274"/>
      <c r="J5" s="270"/>
      <c r="K5" s="265"/>
      <c r="L5" s="265"/>
    </row>
    <row r="6" spans="1:12" ht="15.75" thickBot="1" x14ac:dyDescent="0.3">
      <c r="A6" s="275"/>
      <c r="B6" s="265"/>
      <c r="C6" s="265"/>
      <c r="D6" s="265"/>
      <c r="E6" s="265"/>
      <c r="F6" s="265"/>
      <c r="G6" s="265"/>
      <c r="H6" s="265"/>
      <c r="I6" s="276"/>
      <c r="J6" s="265"/>
      <c r="K6" s="265"/>
      <c r="L6" s="265"/>
    </row>
    <row r="7" spans="1:12" x14ac:dyDescent="0.25">
      <c r="A7" s="275"/>
      <c r="B7" s="1020" t="s">
        <v>525</v>
      </c>
      <c r="C7" s="1023" t="s">
        <v>526</v>
      </c>
      <c r="D7" s="1023" t="s">
        <v>527</v>
      </c>
      <c r="E7" s="1020" t="s">
        <v>528</v>
      </c>
      <c r="F7" s="1023" t="s">
        <v>529</v>
      </c>
      <c r="G7" s="277"/>
      <c r="H7" s="1020" t="s">
        <v>530</v>
      </c>
      <c r="I7" s="276"/>
      <c r="J7" s="265"/>
      <c r="K7" s="265"/>
      <c r="L7" s="265"/>
    </row>
    <row r="8" spans="1:12" x14ac:dyDescent="0.25">
      <c r="A8" s="275"/>
      <c r="B8" s="1021"/>
      <c r="C8" s="1024"/>
      <c r="D8" s="1026"/>
      <c r="E8" s="1021"/>
      <c r="F8" s="1026"/>
      <c r="G8" s="278"/>
      <c r="H8" s="1021"/>
      <c r="I8" s="276"/>
      <c r="J8" s="265"/>
      <c r="K8" s="265"/>
      <c r="L8" s="265"/>
    </row>
    <row r="9" spans="1:12" ht="15.75" thickBot="1" x14ac:dyDescent="0.3">
      <c r="A9" s="275"/>
      <c r="B9" s="1022"/>
      <c r="C9" s="1025"/>
      <c r="D9" s="1027"/>
      <c r="E9" s="1022"/>
      <c r="F9" s="1027"/>
      <c r="G9" s="279" t="s">
        <v>531</v>
      </c>
      <c r="H9" s="1022"/>
      <c r="I9" s="276"/>
      <c r="J9" s="265"/>
      <c r="K9" s="265"/>
      <c r="L9" s="265"/>
    </row>
    <row r="10" spans="1:12" ht="15.75" thickBot="1" x14ac:dyDescent="0.3">
      <c r="A10" s="275"/>
      <c r="B10" s="280"/>
      <c r="C10" s="281" t="e">
        <f ca="1">MATCH</f>
        <v>#N/A</v>
      </c>
      <c r="D10" s="282" t="e">
        <f ca="1">MINT*0.112943</f>
        <v>#N/A</v>
      </c>
      <c r="E10" s="283" t="e">
        <f ca="1">(D10+(C10*D10))</f>
        <v>#N/A</v>
      </c>
      <c r="F10" s="284" t="e">
        <f ca="1">RPM</f>
        <v>#N/A</v>
      </c>
      <c r="G10" s="285" t="e">
        <f ca="1">((C10*D10)+D10)*(F10*2*PI()/60/#REF!)*F10/63025*746*#REF!</f>
        <v>#N/A</v>
      </c>
      <c r="H10" s="285" t="e">
        <f ca="1">(Tint*(RPM^2))/182</f>
        <v>#N/A</v>
      </c>
      <c r="I10" s="276"/>
      <c r="J10" s="265"/>
      <c r="K10" s="265"/>
      <c r="L10" s="265"/>
    </row>
    <row r="11" spans="1:12" x14ac:dyDescent="0.25">
      <c r="A11" s="286"/>
      <c r="B11" s="287"/>
      <c r="C11" s="287"/>
      <c r="D11" s="288"/>
      <c r="E11" s="289"/>
      <c r="F11" s="287"/>
      <c r="G11" s="290"/>
      <c r="H11" s="290"/>
      <c r="I11" s="291"/>
      <c r="J11" s="265"/>
      <c r="K11" s="265"/>
      <c r="L11" s="265"/>
    </row>
    <row r="12" spans="1:12" x14ac:dyDescent="0.25">
      <c r="A12" s="292"/>
      <c r="B12" s="272" t="s">
        <v>532</v>
      </c>
      <c r="C12" s="273"/>
      <c r="D12" s="273"/>
      <c r="E12" s="273"/>
      <c r="F12" s="273"/>
      <c r="G12" s="273"/>
      <c r="H12" s="274"/>
      <c r="I12" s="265"/>
      <c r="J12" s="265"/>
      <c r="K12" s="265"/>
      <c r="L12" s="265"/>
    </row>
    <row r="13" spans="1:12" ht="15.75" thickBot="1" x14ac:dyDescent="0.3">
      <c r="A13" s="275"/>
      <c r="B13" s="265"/>
      <c r="C13" s="265"/>
      <c r="D13" s="265"/>
      <c r="E13" s="265"/>
      <c r="F13" s="265"/>
      <c r="G13" s="265"/>
      <c r="H13" s="276"/>
      <c r="I13" s="265"/>
      <c r="J13" s="265"/>
      <c r="K13" s="265"/>
      <c r="L13" s="265"/>
    </row>
    <row r="14" spans="1:12" ht="15.75" thickBot="1" x14ac:dyDescent="0.3">
      <c r="A14" s="293"/>
      <c r="B14" s="1033" t="s">
        <v>533</v>
      </c>
      <c r="C14" s="1033" t="s">
        <v>534</v>
      </c>
      <c r="D14" s="1020" t="s">
        <v>535</v>
      </c>
      <c r="E14" s="265"/>
      <c r="F14" s="265"/>
      <c r="G14" s="265"/>
      <c r="H14" s="276"/>
      <c r="I14" s="294" t="s">
        <v>536</v>
      </c>
      <c r="J14" s="295" t="s">
        <v>537</v>
      </c>
      <c r="K14" s="295"/>
      <c r="L14" s="295"/>
    </row>
    <row r="15" spans="1:12" ht="15.75" thickBot="1" x14ac:dyDescent="0.3">
      <c r="A15" s="296"/>
      <c r="B15" s="1033"/>
      <c r="C15" s="1033"/>
      <c r="D15" s="1021"/>
      <c r="E15" s="265"/>
      <c r="F15" s="265"/>
      <c r="G15" s="265"/>
      <c r="H15" s="276"/>
      <c r="I15" s="265"/>
      <c r="J15" s="295" t="s">
        <v>538</v>
      </c>
      <c r="K15" s="295"/>
      <c r="L15" s="295"/>
    </row>
    <row r="16" spans="1:12" ht="15.75" thickBot="1" x14ac:dyDescent="0.3">
      <c r="A16" s="297"/>
      <c r="B16" s="1033"/>
      <c r="C16" s="1033"/>
      <c r="D16" s="1022"/>
      <c r="E16" s="265"/>
      <c r="F16" s="298" t="s">
        <v>539</v>
      </c>
      <c r="G16" s="299"/>
      <c r="H16" s="300"/>
      <c r="I16" s="265"/>
      <c r="J16" s="295" t="s">
        <v>540</v>
      </c>
      <c r="K16" s="295"/>
      <c r="L16" s="295"/>
    </row>
    <row r="17" spans="1:12" ht="15.75" thickBot="1" x14ac:dyDescent="0.3">
      <c r="A17" s="296"/>
      <c r="B17" s="301" t="e">
        <f ca="1">ACCTM</f>
        <v>#N/A</v>
      </c>
      <c r="C17" s="302" t="e">
        <f ca="1">VLOOKUP(MODEL,LookupSigma5Feed,18)</f>
        <v>#N/A</v>
      </c>
      <c r="D17" s="303" t="e">
        <f ca="1" xml:space="preserve"> DecTm*LostWatts</f>
        <v>#N/A</v>
      </c>
      <c r="E17" s="265"/>
      <c r="F17" s="265"/>
      <c r="G17" s="265"/>
      <c r="H17" s="276"/>
      <c r="I17" s="265"/>
      <c r="J17" s="295" t="s">
        <v>541</v>
      </c>
      <c r="K17" s="295"/>
      <c r="L17" s="295"/>
    </row>
    <row r="18" spans="1:12" x14ac:dyDescent="0.25">
      <c r="A18" s="286"/>
      <c r="B18" s="304"/>
      <c r="C18" s="305"/>
      <c r="D18" s="305"/>
      <c r="E18" s="305"/>
      <c r="F18" s="305"/>
      <c r="G18" s="305"/>
      <c r="H18" s="291"/>
      <c r="I18" s="265"/>
      <c r="J18" s="265"/>
      <c r="K18" s="265"/>
      <c r="L18" s="265"/>
    </row>
    <row r="19" spans="1:12" x14ac:dyDescent="0.25">
      <c r="A19" s="292"/>
      <c r="B19" s="272" t="s">
        <v>542</v>
      </c>
      <c r="C19" s="273"/>
      <c r="D19" s="306"/>
      <c r="E19" s="273"/>
      <c r="F19" s="274"/>
      <c r="G19" s="265"/>
      <c r="H19" s="265"/>
      <c r="I19" s="265"/>
      <c r="J19" s="265"/>
      <c r="K19" s="265"/>
      <c r="L19" s="265"/>
    </row>
    <row r="20" spans="1:12" ht="15.75" thickBot="1" x14ac:dyDescent="0.3">
      <c r="A20" s="275"/>
      <c r="B20" s="307"/>
      <c r="C20" s="265"/>
      <c r="D20" s="308"/>
      <c r="E20" s="265"/>
      <c r="F20" s="276"/>
      <c r="G20" s="265"/>
      <c r="H20" s="265"/>
      <c r="I20" s="265"/>
      <c r="J20" s="265"/>
      <c r="K20" s="265"/>
      <c r="L20" s="265"/>
    </row>
    <row r="21" spans="1:12" x14ac:dyDescent="0.25">
      <c r="A21" s="275"/>
      <c r="B21" s="1023" t="s">
        <v>543</v>
      </c>
      <c r="C21" s="265"/>
      <c r="D21" s="308"/>
      <c r="E21" s="265"/>
      <c r="F21" s="276"/>
      <c r="G21" s="265"/>
      <c r="H21" s="265"/>
      <c r="I21" s="265"/>
      <c r="J21" s="265"/>
      <c r="K21" s="265"/>
      <c r="L21" s="265"/>
    </row>
    <row r="22" spans="1:12" x14ac:dyDescent="0.25">
      <c r="A22" s="275"/>
      <c r="B22" s="1034"/>
      <c r="C22" s="265"/>
      <c r="D22" s="309" t="s">
        <v>544</v>
      </c>
      <c r="E22" s="295" t="s">
        <v>545</v>
      </c>
      <c r="F22" s="310"/>
      <c r="G22" s="265"/>
      <c r="H22" s="265"/>
      <c r="I22" s="265"/>
      <c r="J22" s="265"/>
      <c r="K22" s="265"/>
      <c r="L22" s="265"/>
    </row>
    <row r="23" spans="1:12" x14ac:dyDescent="0.25">
      <c r="A23" s="275"/>
      <c r="B23" s="1034"/>
      <c r="C23" s="265"/>
      <c r="D23" s="308"/>
      <c r="E23" s="295" t="s">
        <v>546</v>
      </c>
      <c r="F23" s="310"/>
      <c r="G23" s="265"/>
      <c r="H23" s="265"/>
      <c r="I23" s="265"/>
      <c r="J23" s="265"/>
      <c r="K23" s="265"/>
      <c r="L23" s="265"/>
    </row>
    <row r="24" spans="1:12" ht="15.75" thickBot="1" x14ac:dyDescent="0.3">
      <c r="A24" s="275"/>
      <c r="B24" s="1035"/>
      <c r="C24" s="265"/>
      <c r="D24" s="308"/>
      <c r="E24" s="265"/>
      <c r="F24" s="276"/>
      <c r="G24" s="265"/>
      <c r="H24" s="265"/>
      <c r="I24" s="265"/>
      <c r="J24" s="265"/>
      <c r="K24" s="265"/>
      <c r="L24" s="265"/>
    </row>
    <row r="25" spans="1:12" ht="15.75" thickBot="1" x14ac:dyDescent="0.3">
      <c r="A25" s="293"/>
      <c r="B25" s="311" t="e">
        <f ca="1">VLOOKUP(MODEL,LookupSigma5Feed,17)</f>
        <v>#N/A</v>
      </c>
      <c r="C25" s="265"/>
      <c r="E25" s="265"/>
      <c r="F25" s="312"/>
      <c r="G25" s="265"/>
      <c r="H25" s="265"/>
      <c r="I25" s="265"/>
      <c r="J25" s="265"/>
      <c r="K25" s="265"/>
      <c r="L25" s="265"/>
    </row>
    <row r="26" spans="1:12" x14ac:dyDescent="0.25">
      <c r="A26" s="286"/>
      <c r="B26" s="313"/>
      <c r="C26" s="305"/>
      <c r="D26" s="314"/>
      <c r="E26" s="305"/>
      <c r="F26" s="315"/>
      <c r="G26" s="265"/>
      <c r="H26" s="265"/>
      <c r="I26" s="265"/>
      <c r="J26" s="265"/>
      <c r="K26" s="265"/>
      <c r="L26" s="265"/>
    </row>
    <row r="27" spans="1:12" x14ac:dyDescent="0.25">
      <c r="A27" s="271"/>
      <c r="B27" s="272" t="s">
        <v>547</v>
      </c>
      <c r="C27" s="316" t="s">
        <v>548</v>
      </c>
      <c r="D27" s="1036" t="s">
        <v>549</v>
      </c>
      <c r="E27" s="1036"/>
      <c r="F27" s="317" t="s">
        <v>550</v>
      </c>
      <c r="G27" s="273"/>
      <c r="H27" s="274" t="s">
        <v>551</v>
      </c>
      <c r="I27" s="265"/>
      <c r="J27" s="265"/>
      <c r="K27" s="265"/>
      <c r="L27" s="265"/>
    </row>
    <row r="28" spans="1:12" x14ac:dyDescent="0.25">
      <c r="A28" s="296"/>
      <c r="B28" s="265"/>
      <c r="C28" s="265"/>
      <c r="D28" s="1030"/>
      <c r="E28" s="1030"/>
      <c r="F28" s="265"/>
      <c r="G28" s="265"/>
      <c r="H28" s="276"/>
      <c r="I28" s="265"/>
      <c r="J28" s="265"/>
      <c r="K28" s="265"/>
      <c r="L28" s="265"/>
    </row>
    <row r="29" spans="1:12" x14ac:dyDescent="0.25">
      <c r="A29" s="275"/>
      <c r="B29" s="265"/>
      <c r="C29" s="318" t="s">
        <v>552</v>
      </c>
      <c r="D29" s="1028" t="e">
        <f ca="1">Es</f>
        <v>#N/A</v>
      </c>
      <c r="E29" s="1028"/>
      <c r="F29" s="319" t="e">
        <f ca="1">Em</f>
        <v>#N/A</v>
      </c>
      <c r="G29" s="319"/>
      <c r="H29" s="320" t="e">
        <f ca="1">Ec</f>
        <v>#N/A</v>
      </c>
      <c r="I29" s="265"/>
      <c r="J29" s="265"/>
      <c r="K29" s="265"/>
      <c r="L29" s="265"/>
    </row>
    <row r="30" spans="1:12" x14ac:dyDescent="0.25">
      <c r="A30" s="321"/>
      <c r="B30" s="305"/>
      <c r="C30" s="322" t="s">
        <v>552</v>
      </c>
      <c r="D30" s="1029" t="e">
        <f ca="1">Es-(Em+Ec)</f>
        <v>#N/A</v>
      </c>
      <c r="E30" s="1029"/>
      <c r="F30" s="323" t="s">
        <v>553</v>
      </c>
      <c r="G30" s="305"/>
      <c r="H30" s="291"/>
      <c r="I30" s="265"/>
      <c r="J30" s="265"/>
      <c r="K30" s="265"/>
      <c r="L30" s="265"/>
    </row>
    <row r="31" spans="1:12" x14ac:dyDescent="0.25">
      <c r="A31" s="305"/>
      <c r="B31" s="1030"/>
      <c r="C31" s="1030"/>
      <c r="D31" s="1030"/>
      <c r="E31" s="1030"/>
      <c r="F31" s="1030"/>
      <c r="G31" s="1030"/>
      <c r="H31" s="1030"/>
      <c r="I31" s="265"/>
      <c r="J31" s="265"/>
      <c r="K31" s="265"/>
      <c r="L31" s="265"/>
    </row>
    <row r="32" spans="1:12" ht="15.75" thickBot="1" x14ac:dyDescent="0.3">
      <c r="A32" s="292"/>
      <c r="B32" s="316" t="s">
        <v>554</v>
      </c>
      <c r="C32" s="316"/>
      <c r="D32" s="324" t="s">
        <v>555</v>
      </c>
      <c r="E32" s="325"/>
      <c r="F32" s="326"/>
      <c r="G32" s="327"/>
      <c r="H32" s="265"/>
      <c r="I32" s="265"/>
      <c r="J32" s="265"/>
      <c r="K32" s="265"/>
      <c r="L32" s="265"/>
    </row>
    <row r="33" spans="1:12" ht="15.75" thickBot="1" x14ac:dyDescent="0.3">
      <c r="A33" s="275"/>
      <c r="B33" s="1031" t="s">
        <v>556</v>
      </c>
      <c r="C33" s="328"/>
      <c r="D33" s="265" t="s">
        <v>557</v>
      </c>
      <c r="E33" s="329" t="s">
        <v>558</v>
      </c>
      <c r="F33" s="330" t="e">
        <f ca="1">Ek/T</f>
        <v>#N/A</v>
      </c>
      <c r="G33" s="331" t="s">
        <v>459</v>
      </c>
      <c r="H33" s="265"/>
      <c r="I33" s="299" t="s">
        <v>559</v>
      </c>
      <c r="J33" s="299" t="s">
        <v>560</v>
      </c>
      <c r="K33" s="299"/>
      <c r="L33" s="265"/>
    </row>
    <row r="34" spans="1:12" ht="15.75" thickBot="1" x14ac:dyDescent="0.3">
      <c r="A34" s="293"/>
      <c r="B34" s="1031"/>
      <c r="C34" s="328"/>
      <c r="D34" s="265" t="s">
        <v>561</v>
      </c>
      <c r="E34" s="265"/>
      <c r="F34" s="276"/>
      <c r="G34" s="276"/>
      <c r="H34" s="265"/>
      <c r="I34" s="265"/>
      <c r="J34" s="299" t="s">
        <v>562</v>
      </c>
      <c r="K34" s="265"/>
      <c r="L34" s="265"/>
    </row>
    <row r="35" spans="1:12" ht="15.75" thickBot="1" x14ac:dyDescent="0.3">
      <c r="A35" s="296"/>
      <c r="B35" s="1032"/>
      <c r="C35" s="332"/>
      <c r="D35" s="265"/>
      <c r="E35" s="265"/>
      <c r="F35" s="276"/>
      <c r="G35" s="276"/>
      <c r="H35" s="265"/>
      <c r="I35" s="265"/>
      <c r="J35" s="265"/>
      <c r="K35" s="265"/>
      <c r="L35" s="265"/>
    </row>
    <row r="36" spans="1:12" ht="15.75" thickBot="1" x14ac:dyDescent="0.3">
      <c r="A36" s="297"/>
      <c r="B36" s="301" t="e">
        <f ca="1">CYCTM</f>
        <v>#N/A</v>
      </c>
      <c r="C36" s="332"/>
      <c r="D36" s="333" t="s">
        <v>563</v>
      </c>
      <c r="E36" s="329"/>
      <c r="F36" s="334"/>
      <c r="G36" s="276"/>
      <c r="H36" s="265"/>
      <c r="I36" s="265"/>
      <c r="J36" s="265"/>
      <c r="K36" s="265"/>
      <c r="L36" s="265"/>
    </row>
    <row r="37" spans="1:12" x14ac:dyDescent="0.25">
      <c r="A37" s="296"/>
      <c r="B37" s="335"/>
      <c r="C37" s="265"/>
      <c r="D37" s="336"/>
      <c r="E37" s="329" t="s">
        <v>564</v>
      </c>
      <c r="F37" s="330" t="e">
        <f ca="1">(Ek)/(0.2*T)</f>
        <v>#N/A</v>
      </c>
      <c r="G37" s="276" t="s">
        <v>565</v>
      </c>
      <c r="H37" s="265"/>
      <c r="I37" s="265"/>
      <c r="J37" s="265"/>
      <c r="K37" s="265"/>
      <c r="L37" s="265"/>
    </row>
    <row r="41" spans="1:12" x14ac:dyDescent="0.25">
      <c r="A41" s="600" t="s">
        <v>1051</v>
      </c>
      <c r="B41" s="600"/>
      <c r="C41" s="600"/>
      <c r="D41" s="600" t="s">
        <v>830</v>
      </c>
      <c r="E41" s="600"/>
      <c r="F41" s="600"/>
    </row>
    <row r="42" spans="1:12" x14ac:dyDescent="0.25">
      <c r="A42" s="600" t="s">
        <v>908</v>
      </c>
      <c r="B42" s="600" t="e">
        <f ca="1">INDIRECT("'" &amp; A$41 &amp; "'!" &amp; A42)</f>
        <v>#N/A</v>
      </c>
      <c r="C42" s="600"/>
      <c r="D42" s="600" t="s">
        <v>466</v>
      </c>
      <c r="E42" s="600" t="e">
        <f ca="1">INDIRECT("'" &amp; D$41 &amp; "'!" &amp; D42)</f>
        <v>#N/A</v>
      </c>
      <c r="F42" s="600"/>
    </row>
    <row r="43" spans="1:12" x14ac:dyDescent="0.25">
      <c r="A43" s="600" t="s">
        <v>915</v>
      </c>
      <c r="B43" s="600" t="e">
        <f ca="1">INDIRECT("'" &amp; A$41 &amp; "'!" &amp; A43)</f>
        <v>#N/A</v>
      </c>
      <c r="C43" s="600"/>
      <c r="D43" s="600" t="s">
        <v>930</v>
      </c>
      <c r="E43" s="600" t="e">
        <f ca="1">INDIRECT("'" &amp; D$41 &amp; "'!" &amp; D43)</f>
        <v>#N/A</v>
      </c>
      <c r="F43" s="600"/>
    </row>
    <row r="44" spans="1:12" x14ac:dyDescent="0.25">
      <c r="A44" s="600"/>
      <c r="B44" s="600"/>
      <c r="C44" s="600"/>
      <c r="D44" s="600" t="s">
        <v>985</v>
      </c>
      <c r="E44" s="600">
        <f ca="1">INDIRECT("'" &amp; D$41 &amp; "'!" &amp; D44)</f>
        <v>0</v>
      </c>
      <c r="F44" s="600"/>
    </row>
    <row r="45" spans="1:12" x14ac:dyDescent="0.25">
      <c r="A45" s="600"/>
      <c r="B45" s="600"/>
      <c r="C45" s="600"/>
      <c r="D45" s="600" t="s">
        <v>517</v>
      </c>
      <c r="E45" s="600" t="e">
        <f ca="1">INDIRECT("'" &amp; D$41 &amp; "'!" &amp; D45)</f>
        <v>#N/A</v>
      </c>
      <c r="F45" s="600"/>
    </row>
  </sheetData>
  <mergeCells count="17">
    <mergeCell ref="I1:K3"/>
    <mergeCell ref="B7:B9"/>
    <mergeCell ref="C7:C9"/>
    <mergeCell ref="D7:D9"/>
    <mergeCell ref="E7:E9"/>
    <mergeCell ref="F7:F9"/>
    <mergeCell ref="H7:H9"/>
    <mergeCell ref="D29:E29"/>
    <mergeCell ref="D30:E30"/>
    <mergeCell ref="B31:H31"/>
    <mergeCell ref="B33:B35"/>
    <mergeCell ref="B14:B16"/>
    <mergeCell ref="C14:C16"/>
    <mergeCell ref="D14:D16"/>
    <mergeCell ref="B21:B24"/>
    <mergeCell ref="D27:E27"/>
    <mergeCell ref="D28:E28"/>
  </mergeCells>
  <pageMargins left="0.7" right="0.7" top="0.75" bottom="0.75" header="0.3" footer="0.3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09EF5D-85F9-4713-B1AB-3D3F91601172}">
  <sheetPr codeName="Sheet43">
    <tabColor rgb="FFFF0000"/>
  </sheetPr>
  <dimension ref="A2:EL54"/>
  <sheetViews>
    <sheetView topLeftCell="A19" workbookViewId="0">
      <selection activeCell="A45" sqref="A45:B54"/>
    </sheetView>
  </sheetViews>
  <sheetFormatPr defaultRowHeight="15" x14ac:dyDescent="0.25"/>
  <cols>
    <col min="1" max="1" width="20.28515625" bestFit="1" customWidth="1"/>
    <col min="2" max="2" width="10" bestFit="1" customWidth="1"/>
    <col min="4" max="4" width="10.28515625" bestFit="1" customWidth="1"/>
    <col min="10" max="10" width="10.42578125" customWidth="1"/>
    <col min="12" max="12" width="20.28515625" bestFit="1" customWidth="1"/>
    <col min="13" max="13" width="10" bestFit="1" customWidth="1"/>
    <col min="15" max="15" width="10" customWidth="1"/>
    <col min="21" max="21" width="10.42578125" customWidth="1"/>
    <col min="24" max="24" width="10" bestFit="1" customWidth="1"/>
    <col min="26" max="26" width="11" customWidth="1"/>
    <col min="32" max="32" width="10.85546875" customWidth="1"/>
    <col min="34" max="34" width="23.28515625" bestFit="1" customWidth="1"/>
    <col min="35" max="35" width="9.85546875" customWidth="1"/>
    <col min="37" max="37" width="10.140625" customWidth="1"/>
    <col min="43" max="43" width="10.5703125" customWidth="1"/>
    <col min="45" max="45" width="23.28515625" bestFit="1" customWidth="1"/>
    <col min="46" max="46" width="10" customWidth="1"/>
    <col min="48" max="48" width="11.140625" customWidth="1"/>
    <col min="54" max="54" width="10.5703125" customWidth="1"/>
    <col min="56" max="56" width="10.5703125" customWidth="1"/>
    <col min="57" max="57" width="10.7109375" customWidth="1"/>
    <col min="59" max="59" width="10.140625" customWidth="1"/>
    <col min="65" max="65" width="11.140625" customWidth="1"/>
    <col min="68" max="68" width="11.5703125" customWidth="1"/>
    <col min="70" max="70" width="11.140625" customWidth="1"/>
    <col min="76" max="76" width="10.5703125" customWidth="1"/>
    <col min="79" max="79" width="10.5703125" customWidth="1"/>
    <col min="81" max="81" width="11.42578125" customWidth="1"/>
    <col min="87" max="87" width="10.140625" customWidth="1"/>
    <col min="90" max="90" width="11" customWidth="1"/>
    <col min="91" max="91" width="10.42578125" customWidth="1"/>
    <col min="92" max="92" width="10.28515625" customWidth="1"/>
    <col min="98" max="98" width="10.7109375" customWidth="1"/>
    <col min="101" max="101" width="10.85546875" customWidth="1"/>
    <col min="106" max="106" width="10.42578125" customWidth="1"/>
    <col min="109" max="109" width="10.5703125" customWidth="1"/>
    <col min="112" max="112" width="12.28515625" customWidth="1"/>
    <col min="117" max="117" width="10.28515625" customWidth="1"/>
    <col min="119" max="119" width="10" customWidth="1"/>
    <col min="120" max="120" width="11.5703125" customWidth="1"/>
    <col min="122" max="122" width="21.85546875" bestFit="1" customWidth="1"/>
    <col min="123" max="123" width="11.140625" customWidth="1"/>
    <col min="128" max="128" width="12.7109375" customWidth="1"/>
    <col min="129" max="129" width="10.85546875" customWidth="1"/>
    <col min="130" max="131" width="11.140625" customWidth="1"/>
    <col min="135" max="135" width="11.42578125" bestFit="1" customWidth="1"/>
    <col min="142" max="142" width="10.7109375" customWidth="1"/>
  </cols>
  <sheetData>
    <row r="2" spans="1:142" x14ac:dyDescent="0.25">
      <c r="A2" t="s">
        <v>791</v>
      </c>
      <c r="L2" t="s">
        <v>789</v>
      </c>
      <c r="W2" t="s">
        <v>1023</v>
      </c>
      <c r="AH2" t="s">
        <v>1024</v>
      </c>
      <c r="AS2" t="s">
        <v>793</v>
      </c>
      <c r="BD2" t="s">
        <v>1025</v>
      </c>
      <c r="BO2" t="s">
        <v>1026</v>
      </c>
      <c r="BZ2" t="s">
        <v>798</v>
      </c>
      <c r="CK2" t="s">
        <v>800</v>
      </c>
      <c r="CV2" t="s">
        <v>1027</v>
      </c>
      <c r="DG2" t="s">
        <v>801</v>
      </c>
      <c r="DR2" t="s">
        <v>1028</v>
      </c>
      <c r="EC2" t="s">
        <v>1029</v>
      </c>
    </row>
    <row r="4" spans="1:142" ht="15.75" x14ac:dyDescent="0.25">
      <c r="A4" s="248"/>
      <c r="B4" s="338" t="s">
        <v>570</v>
      </c>
      <c r="C4" s="338" t="s">
        <v>571</v>
      </c>
      <c r="D4" s="338" t="s">
        <v>572</v>
      </c>
      <c r="E4" s="338" t="s">
        <v>573</v>
      </c>
      <c r="F4" s="338" t="s">
        <v>574</v>
      </c>
      <c r="G4" s="338" t="s">
        <v>575</v>
      </c>
      <c r="H4" s="338" t="s">
        <v>576</v>
      </c>
      <c r="I4" s="338" t="s">
        <v>103</v>
      </c>
      <c r="J4" s="338" t="s">
        <v>577</v>
      </c>
      <c r="L4" s="248"/>
      <c r="M4" s="338" t="s">
        <v>570</v>
      </c>
      <c r="N4" s="338" t="s">
        <v>571</v>
      </c>
      <c r="O4" s="338" t="s">
        <v>572</v>
      </c>
      <c r="P4" s="338" t="s">
        <v>573</v>
      </c>
      <c r="Q4" s="338" t="s">
        <v>574</v>
      </c>
      <c r="R4" s="338" t="s">
        <v>575</v>
      </c>
      <c r="S4" s="338" t="s">
        <v>576</v>
      </c>
      <c r="T4" s="338" t="s">
        <v>103</v>
      </c>
      <c r="U4" s="338" t="s">
        <v>577</v>
      </c>
      <c r="W4" s="248"/>
      <c r="X4" s="338" t="s">
        <v>570</v>
      </c>
      <c r="Y4" s="338" t="s">
        <v>571</v>
      </c>
      <c r="Z4" s="338" t="s">
        <v>572</v>
      </c>
      <c r="AA4" s="338" t="s">
        <v>573</v>
      </c>
      <c r="AB4" s="338" t="s">
        <v>574</v>
      </c>
      <c r="AC4" s="338" t="s">
        <v>575</v>
      </c>
      <c r="AD4" s="338" t="s">
        <v>576</v>
      </c>
      <c r="AE4" s="338" t="s">
        <v>103</v>
      </c>
      <c r="AF4" s="338" t="s">
        <v>577</v>
      </c>
      <c r="AH4" s="248"/>
      <c r="AI4" s="338" t="s">
        <v>570</v>
      </c>
      <c r="AJ4" s="338" t="s">
        <v>571</v>
      </c>
      <c r="AK4" s="338" t="s">
        <v>572</v>
      </c>
      <c r="AL4" s="338" t="s">
        <v>573</v>
      </c>
      <c r="AM4" s="338" t="s">
        <v>574</v>
      </c>
      <c r="AN4" s="338" t="s">
        <v>575</v>
      </c>
      <c r="AO4" s="338" t="s">
        <v>576</v>
      </c>
      <c r="AP4" s="338" t="s">
        <v>103</v>
      </c>
      <c r="AQ4" s="338" t="s">
        <v>577</v>
      </c>
      <c r="AS4" s="248"/>
      <c r="AT4" s="338" t="s">
        <v>570</v>
      </c>
      <c r="AU4" s="338" t="s">
        <v>571</v>
      </c>
      <c r="AV4" s="338" t="s">
        <v>572</v>
      </c>
      <c r="AW4" s="338" t="s">
        <v>573</v>
      </c>
      <c r="AX4" s="338" t="s">
        <v>574</v>
      </c>
      <c r="AY4" s="338" t="s">
        <v>575</v>
      </c>
      <c r="AZ4" s="338" t="s">
        <v>576</v>
      </c>
      <c r="BA4" s="338" t="s">
        <v>103</v>
      </c>
      <c r="BB4" s="338" t="s">
        <v>577</v>
      </c>
      <c r="BD4" s="248"/>
      <c r="BE4" s="338" t="s">
        <v>570</v>
      </c>
      <c r="BF4" s="338" t="s">
        <v>571</v>
      </c>
      <c r="BG4" s="338" t="s">
        <v>572</v>
      </c>
      <c r="BH4" s="338" t="s">
        <v>573</v>
      </c>
      <c r="BI4" s="338" t="s">
        <v>574</v>
      </c>
      <c r="BJ4" s="338" t="s">
        <v>575</v>
      </c>
      <c r="BK4" s="338" t="s">
        <v>576</v>
      </c>
      <c r="BL4" s="338" t="s">
        <v>103</v>
      </c>
      <c r="BM4" s="338" t="s">
        <v>577</v>
      </c>
      <c r="BO4" s="245"/>
      <c r="BP4" s="338" t="s">
        <v>570</v>
      </c>
      <c r="BQ4" s="338" t="s">
        <v>571</v>
      </c>
      <c r="BR4" s="338" t="s">
        <v>572</v>
      </c>
      <c r="BS4" s="338" t="s">
        <v>573</v>
      </c>
      <c r="BT4" s="338" t="s">
        <v>574</v>
      </c>
      <c r="BU4" s="338" t="s">
        <v>575</v>
      </c>
      <c r="BV4" s="338" t="s">
        <v>576</v>
      </c>
      <c r="BW4" s="338" t="s">
        <v>103</v>
      </c>
      <c r="BX4" s="338" t="s">
        <v>577</v>
      </c>
      <c r="BZ4" s="245"/>
      <c r="CA4" s="338" t="s">
        <v>570</v>
      </c>
      <c r="CB4" s="338" t="s">
        <v>571</v>
      </c>
      <c r="CC4" s="338" t="s">
        <v>572</v>
      </c>
      <c r="CD4" s="338" t="s">
        <v>573</v>
      </c>
      <c r="CE4" s="338" t="s">
        <v>574</v>
      </c>
      <c r="CF4" s="338" t="s">
        <v>575</v>
      </c>
      <c r="CG4" s="338" t="s">
        <v>576</v>
      </c>
      <c r="CH4" s="338" t="s">
        <v>103</v>
      </c>
      <c r="CI4" s="338" t="s">
        <v>577</v>
      </c>
      <c r="CK4" s="248"/>
      <c r="CL4" s="338" t="s">
        <v>570</v>
      </c>
      <c r="CM4" s="338" t="s">
        <v>571</v>
      </c>
      <c r="CN4" s="338" t="s">
        <v>572</v>
      </c>
      <c r="CO4" s="338" t="s">
        <v>573</v>
      </c>
      <c r="CP4" s="338" t="s">
        <v>574</v>
      </c>
      <c r="CQ4" s="338" t="s">
        <v>575</v>
      </c>
      <c r="CR4" s="338" t="s">
        <v>576</v>
      </c>
      <c r="CS4" s="338" t="s">
        <v>103</v>
      </c>
      <c r="CT4" s="338" t="s">
        <v>577</v>
      </c>
      <c r="CV4" s="248"/>
      <c r="CW4" s="338" t="s">
        <v>570</v>
      </c>
      <c r="CX4" s="338" t="s">
        <v>571</v>
      </c>
      <c r="CY4" s="338" t="s">
        <v>572</v>
      </c>
      <c r="CZ4" s="338" t="s">
        <v>573</v>
      </c>
      <c r="DA4" s="338" t="s">
        <v>574</v>
      </c>
      <c r="DB4" s="338" t="s">
        <v>575</v>
      </c>
      <c r="DC4" s="338" t="s">
        <v>576</v>
      </c>
      <c r="DD4" s="338" t="s">
        <v>103</v>
      </c>
      <c r="DE4" s="338" t="s">
        <v>577</v>
      </c>
      <c r="DG4" s="248"/>
      <c r="DH4" s="338" t="s">
        <v>570</v>
      </c>
      <c r="DI4" s="338" t="s">
        <v>571</v>
      </c>
      <c r="DJ4" s="338" t="s">
        <v>572</v>
      </c>
      <c r="DK4" s="338" t="s">
        <v>573</v>
      </c>
      <c r="DL4" s="338" t="s">
        <v>574</v>
      </c>
      <c r="DM4" s="338" t="s">
        <v>575</v>
      </c>
      <c r="DN4" s="338" t="s">
        <v>576</v>
      </c>
      <c r="DO4" s="338" t="s">
        <v>103</v>
      </c>
      <c r="DP4" s="338" t="s">
        <v>577</v>
      </c>
      <c r="DR4" s="248"/>
      <c r="DS4" s="338" t="s">
        <v>570</v>
      </c>
      <c r="DT4" s="338" t="s">
        <v>571</v>
      </c>
      <c r="DU4" s="338" t="s">
        <v>572</v>
      </c>
      <c r="DV4" s="338" t="s">
        <v>573</v>
      </c>
      <c r="DW4" s="338" t="s">
        <v>574</v>
      </c>
      <c r="DX4" s="338" t="s">
        <v>575</v>
      </c>
      <c r="DY4" s="338" t="s">
        <v>576</v>
      </c>
      <c r="DZ4" s="338" t="s">
        <v>103</v>
      </c>
      <c r="EA4" s="338" t="s">
        <v>577</v>
      </c>
      <c r="EC4" s="248"/>
      <c r="ED4" s="338" t="s">
        <v>570</v>
      </c>
      <c r="EE4" s="338" t="s">
        <v>571</v>
      </c>
      <c r="EF4" s="338" t="s">
        <v>572</v>
      </c>
      <c r="EG4" s="338" t="s">
        <v>573</v>
      </c>
      <c r="EH4" s="338" t="s">
        <v>574</v>
      </c>
      <c r="EI4" s="338" t="s">
        <v>575</v>
      </c>
      <c r="EJ4" s="338" t="s">
        <v>576</v>
      </c>
      <c r="EK4" s="338" t="s">
        <v>103</v>
      </c>
      <c r="EL4" s="338" t="s">
        <v>577</v>
      </c>
    </row>
    <row r="5" spans="1:142" ht="15.75" x14ac:dyDescent="0.25">
      <c r="A5" s="248"/>
      <c r="B5" s="245"/>
      <c r="C5" s="245"/>
      <c r="D5" s="245"/>
      <c r="E5" s="245"/>
      <c r="F5" s="245"/>
      <c r="G5" s="245"/>
      <c r="H5" s="245"/>
      <c r="I5" s="245"/>
      <c r="J5" s="245"/>
      <c r="L5" s="248"/>
      <c r="M5" s="245"/>
      <c r="N5" s="245"/>
      <c r="O5" s="245"/>
      <c r="P5" s="245"/>
      <c r="Q5" s="245"/>
      <c r="R5" s="245"/>
      <c r="S5" s="245"/>
      <c r="T5" s="245"/>
      <c r="U5" s="245"/>
      <c r="W5" s="248"/>
      <c r="X5" s="245"/>
      <c r="Y5" s="245"/>
      <c r="Z5" s="245"/>
      <c r="AA5" s="245"/>
      <c r="AB5" s="245"/>
      <c r="AC5" s="245"/>
      <c r="AD5" s="245"/>
      <c r="AE5" s="245"/>
      <c r="AF5" s="245"/>
      <c r="AH5" s="248"/>
      <c r="AI5" s="245"/>
      <c r="AJ5" s="245"/>
      <c r="AK5" s="245"/>
      <c r="AL5" s="245"/>
      <c r="AM5" s="245"/>
      <c r="AN5" s="245"/>
      <c r="AO5" s="245"/>
      <c r="AP5" s="245"/>
      <c r="AQ5" s="245"/>
      <c r="AS5" s="248"/>
      <c r="AT5" s="245"/>
      <c r="AU5" s="245"/>
      <c r="AV5" s="245"/>
      <c r="AW5" s="245"/>
      <c r="AX5" s="245"/>
      <c r="AY5" s="245"/>
      <c r="AZ5" s="245"/>
      <c r="BA5" s="245"/>
      <c r="BB5" s="245"/>
      <c r="BD5" s="248"/>
      <c r="BE5" s="245"/>
      <c r="BF5" s="245"/>
      <c r="BG5" s="245"/>
      <c r="BH5" s="245"/>
      <c r="BI5" s="245"/>
      <c r="BJ5" s="245"/>
      <c r="BK5" s="245"/>
      <c r="BL5" s="245"/>
      <c r="BM5" s="245"/>
      <c r="BO5" s="245"/>
      <c r="BP5" s="245"/>
      <c r="BQ5" s="245"/>
      <c r="BR5" s="245"/>
      <c r="BS5" s="245"/>
      <c r="BT5" s="245"/>
      <c r="BU5" s="245"/>
      <c r="BV5" s="245"/>
      <c r="BW5" s="245"/>
      <c r="BX5" s="245"/>
      <c r="BZ5" s="245"/>
      <c r="CA5" s="245"/>
      <c r="CB5" s="245"/>
      <c r="CC5" s="245"/>
      <c r="CD5" s="245"/>
      <c r="CE5" s="245"/>
      <c r="CF5" s="245"/>
      <c r="CG5" s="245"/>
      <c r="CH5" s="245"/>
      <c r="CI5" s="245"/>
      <c r="CK5" s="248"/>
      <c r="CL5" s="245"/>
      <c r="CM5" s="245"/>
      <c r="CN5" s="245"/>
      <c r="CO5" s="245"/>
      <c r="CP5" s="245"/>
      <c r="CQ5" s="245"/>
      <c r="CR5" s="245"/>
      <c r="CS5" s="245"/>
      <c r="CT5" s="245"/>
      <c r="CV5" s="248"/>
      <c r="CW5" s="245"/>
      <c r="CX5" s="245"/>
      <c r="CY5" s="245"/>
      <c r="CZ5" s="245"/>
      <c r="DA5" s="245"/>
      <c r="DB5" s="245"/>
      <c r="DC5" s="245"/>
      <c r="DD5" s="257"/>
      <c r="DE5" s="245"/>
      <c r="DG5" s="248"/>
      <c r="DH5" s="245"/>
      <c r="DI5" s="245"/>
      <c r="DJ5" s="245"/>
      <c r="DK5" s="245"/>
      <c r="DL5" s="245"/>
      <c r="DM5" s="245"/>
      <c r="DN5" s="245"/>
      <c r="DO5" s="257"/>
      <c r="DP5" s="245"/>
      <c r="DR5" s="248"/>
      <c r="DS5" s="245"/>
      <c r="DT5" s="245"/>
      <c r="DU5" s="245"/>
      <c r="DV5" s="245"/>
      <c r="DW5" s="245"/>
      <c r="DX5" s="245"/>
      <c r="DY5" s="245"/>
      <c r="DZ5" s="257"/>
      <c r="EA5" s="245"/>
      <c r="EC5" s="248"/>
      <c r="ED5" s="245"/>
      <c r="EE5" s="245"/>
      <c r="EF5" s="245"/>
      <c r="EG5" s="245"/>
      <c r="EH5" s="245"/>
      <c r="EI5" s="245"/>
      <c r="EJ5" s="245"/>
      <c r="EK5" s="257"/>
      <c r="EL5" s="245"/>
    </row>
    <row r="6" spans="1:142" ht="15.75" x14ac:dyDescent="0.25">
      <c r="A6" s="248"/>
      <c r="B6" s="245"/>
      <c r="C6" s="245"/>
      <c r="D6" s="245"/>
      <c r="E6" s="245"/>
      <c r="F6" s="245"/>
      <c r="G6" s="245"/>
      <c r="H6" s="245"/>
      <c r="I6" s="245"/>
      <c r="J6" s="245"/>
      <c r="L6" s="248"/>
      <c r="M6" s="245"/>
      <c r="N6" s="245"/>
      <c r="O6" s="245"/>
      <c r="P6" s="245"/>
      <c r="Q6" s="245"/>
      <c r="R6" s="245"/>
      <c r="S6" s="245"/>
      <c r="T6" s="245"/>
      <c r="U6" s="245"/>
      <c r="W6" s="248"/>
      <c r="X6" s="245"/>
      <c r="Y6" s="245"/>
      <c r="Z6" s="245"/>
      <c r="AA6" s="245"/>
      <c r="AB6" s="245"/>
      <c r="AC6" s="245"/>
      <c r="AD6" s="245"/>
      <c r="AE6" s="245"/>
      <c r="AF6" s="245"/>
      <c r="AH6" s="248"/>
      <c r="AI6" s="245"/>
      <c r="AJ6" s="245"/>
      <c r="AK6" s="245"/>
      <c r="AL6" s="245"/>
      <c r="AM6" s="245"/>
      <c r="AN6" s="245"/>
      <c r="AO6" s="245"/>
      <c r="AP6" s="245"/>
      <c r="AQ6" s="245"/>
      <c r="AS6" s="248"/>
      <c r="AT6" s="245"/>
      <c r="AU6" s="245"/>
      <c r="AV6" s="245"/>
      <c r="AW6" s="245"/>
      <c r="AX6" s="245"/>
      <c r="AY6" s="245"/>
      <c r="AZ6" s="245"/>
      <c r="BA6" s="245"/>
      <c r="BB6" s="245"/>
      <c r="BD6" s="248"/>
      <c r="BE6" s="245"/>
      <c r="BF6" s="245"/>
      <c r="BG6" s="245"/>
      <c r="BH6" s="245"/>
      <c r="BI6" s="245"/>
      <c r="BJ6" s="245"/>
      <c r="BK6" s="245"/>
      <c r="BL6" s="245"/>
      <c r="BM6" s="245"/>
      <c r="BO6" s="248"/>
      <c r="BP6" s="245"/>
      <c r="BQ6" s="245"/>
      <c r="BR6" s="245"/>
      <c r="BS6" s="245"/>
      <c r="BT6" s="245"/>
      <c r="BU6" s="429"/>
      <c r="BV6" s="254"/>
      <c r="BW6" s="245"/>
      <c r="BX6" s="245"/>
      <c r="BZ6" s="248"/>
      <c r="CA6" s="245"/>
      <c r="CB6" s="245"/>
      <c r="CC6" s="245"/>
      <c r="CD6" s="245"/>
      <c r="CE6" s="245"/>
      <c r="CF6" s="429"/>
      <c r="CG6" s="254"/>
      <c r="CH6" s="245"/>
      <c r="CI6" s="245"/>
      <c r="CK6" s="248"/>
      <c r="CL6" s="245"/>
      <c r="CM6" s="245"/>
      <c r="CN6" s="245"/>
      <c r="CO6" s="245"/>
      <c r="CP6" s="245"/>
      <c r="CQ6" s="429"/>
      <c r="CR6" s="254"/>
      <c r="CS6" s="245"/>
      <c r="CT6" s="245"/>
      <c r="CV6" s="250" t="s">
        <v>578</v>
      </c>
      <c r="CW6" s="255">
        <v>6</v>
      </c>
      <c r="CX6" s="339">
        <v>0</v>
      </c>
      <c r="CY6" s="257">
        <f ca="1">IF(RollWidth="Y", VALUE(Width)+1.725, VALUE(Width)*0.5)</f>
        <v>1.7250000000000001</v>
      </c>
      <c r="CZ6" s="251">
        <v>0.28299999999999997</v>
      </c>
      <c r="DA6" s="252">
        <v>1</v>
      </c>
      <c r="DB6" s="585">
        <f ca="1">((PI()*CY6*CZ6/4)*(CW6^2-CX6^2))*DA6</f>
        <v>13.802822942995775</v>
      </c>
      <c r="DC6" s="257">
        <f ca="1">(((DB6/386.4)*(CW6^2+CX6^2))/8)</f>
        <v>0.16074716160321167</v>
      </c>
      <c r="DD6" s="257" t="e">
        <f ca="1">Ratio</f>
        <v>#N/A</v>
      </c>
      <c r="DE6" s="257" t="e">
        <f ca="1">(DC6/(DD6^2))</f>
        <v>#N/A</v>
      </c>
      <c r="DG6" s="250" t="s">
        <v>578</v>
      </c>
      <c r="DH6" s="339">
        <v>6</v>
      </c>
      <c r="DI6" s="339">
        <v>0</v>
      </c>
      <c r="DJ6" s="257">
        <f ca="1">IF(RollWidth="Y", VALUE(Width)+1.725, VALUE(Width)*0.5)</f>
        <v>1.7250000000000001</v>
      </c>
      <c r="DK6" s="254">
        <v>0.28299999999999997</v>
      </c>
      <c r="DL6" s="252">
        <v>1</v>
      </c>
      <c r="DM6" s="585">
        <f ca="1">((PI()*DJ6*DK6/4)*(DH6^2-DI6^2))*DL6</f>
        <v>13.802822942995775</v>
      </c>
      <c r="DN6" s="257">
        <f ca="1">(((DM6/386.4)*(DH6^2+DI6^2))/8)</f>
        <v>0.16074716160321167</v>
      </c>
      <c r="DO6" s="257" t="e">
        <f ca="1">Ratio</f>
        <v>#N/A</v>
      </c>
      <c r="DP6" s="257" t="e">
        <f ca="1">(DN6/(DO6^2))</f>
        <v>#N/A</v>
      </c>
      <c r="DR6" s="250" t="s">
        <v>578</v>
      </c>
      <c r="DS6" s="341">
        <v>7</v>
      </c>
      <c r="DT6" s="341">
        <v>0</v>
      </c>
      <c r="DU6" s="258">
        <f ca="1">IF(RollWidth="Y", VALUE(Width)+1.725, VALUE(Width)*0.5)</f>
        <v>1.7250000000000001</v>
      </c>
      <c r="DV6" s="251">
        <v>0.28299999999999997</v>
      </c>
      <c r="DW6" s="252">
        <v>1</v>
      </c>
      <c r="DX6" s="585">
        <f ca="1">((PI()*DU6*DV6/4)*(DS6^2-DT6^2))*DW6</f>
        <v>18.787175672410914</v>
      </c>
      <c r="DY6" s="257">
        <f ca="1">(((DX6/386.4)*(DS6^2+DT6^2))/8)</f>
        <v>0.29780396219854255</v>
      </c>
      <c r="DZ6" s="258" t="e">
        <f ca="1">Ratio</f>
        <v>#N/A</v>
      </c>
      <c r="EA6" s="257" t="e">
        <f ca="1">(DY6/(DZ6^2))</f>
        <v>#N/A</v>
      </c>
      <c r="EC6" s="250" t="s">
        <v>578</v>
      </c>
      <c r="ED6" s="341">
        <v>8</v>
      </c>
      <c r="EE6" s="341">
        <v>0</v>
      </c>
      <c r="EF6" s="258">
        <f ca="1">VALUE(Width)*0.5</f>
        <v>0</v>
      </c>
      <c r="EG6" s="251">
        <v>0.28299999999999997</v>
      </c>
      <c r="EH6" s="252">
        <v>1</v>
      </c>
      <c r="EI6" s="585">
        <f ca="1">((PI()*EF6*EG6/4)*(ED6^2-EE6^2))*EH6</f>
        <v>0</v>
      </c>
      <c r="EJ6" s="257">
        <f ca="1">(((EI6/386.4)*(ED6^2+EE6^2))/8)</f>
        <v>0</v>
      </c>
      <c r="EK6" s="258" t="e">
        <f ca="1">Ratio</f>
        <v>#N/A</v>
      </c>
      <c r="EL6" s="257" t="e">
        <f ca="1">(EJ6/(EK6^2))</f>
        <v>#N/A</v>
      </c>
    </row>
    <row r="7" spans="1:142" ht="15.75" x14ac:dyDescent="0.25">
      <c r="A7" s="250" t="s">
        <v>578</v>
      </c>
      <c r="B7" s="251">
        <v>2.625</v>
      </c>
      <c r="C7" s="251">
        <v>0</v>
      </c>
      <c r="D7" s="257">
        <f ca="1">VALUE(Width)+0.75</f>
        <v>0.75</v>
      </c>
      <c r="E7" s="251">
        <v>0.28299999999999997</v>
      </c>
      <c r="F7" s="252">
        <v>1</v>
      </c>
      <c r="G7" s="585">
        <f ca="1">((PI()*D7*E7/4)*(B7^2-C7^2))*F7</f>
        <v>1.1486724256229499</v>
      </c>
      <c r="H7" s="257">
        <f ca="1">(((G7/386.4)*(B7^2+C7^2))/8)</f>
        <v>2.5605172531082232E-3</v>
      </c>
      <c r="I7" s="257" t="e">
        <f ca="1">Ratio</f>
        <v>#N/A</v>
      </c>
      <c r="J7" s="257" t="e">
        <f ca="1">(H7/(I7^2))</f>
        <v>#N/A</v>
      </c>
      <c r="L7" s="250" t="s">
        <v>578</v>
      </c>
      <c r="M7" s="251">
        <v>2.25</v>
      </c>
      <c r="N7" s="251">
        <v>0</v>
      </c>
      <c r="O7" s="257">
        <f ca="1">VALUE(Width)+0.75</f>
        <v>0.75</v>
      </c>
      <c r="P7" s="251">
        <v>0.28299999999999997</v>
      </c>
      <c r="Q7" s="252">
        <v>1</v>
      </c>
      <c r="R7" s="585">
        <f ca="1">((PI()*P7*O7/4)*(M7^2-N7^2))*Q7</f>
        <v>0.84392259841686124</v>
      </c>
      <c r="S7" s="257">
        <f ca="1">(((R7/386.4)*(M7^2+N7^2))/8)</f>
        <v>1.3821034402450051E-3</v>
      </c>
      <c r="T7" s="257" t="e">
        <f ca="1">Ratio</f>
        <v>#N/A</v>
      </c>
      <c r="U7" s="257" t="e">
        <f ca="1">(S7/(T7^2))</f>
        <v>#N/A</v>
      </c>
      <c r="W7" s="250" t="s">
        <v>578</v>
      </c>
      <c r="X7" s="251">
        <v>3</v>
      </c>
      <c r="Y7" s="251">
        <v>0</v>
      </c>
      <c r="Z7" s="257">
        <f ca="1">IF(RollWidth="Y", VALUE(Width)+1.99, VALUE(Width)*0.5)</f>
        <v>1.99</v>
      </c>
      <c r="AA7" s="251">
        <v>0.28299999999999997</v>
      </c>
      <c r="AB7" s="252">
        <v>1</v>
      </c>
      <c r="AC7" s="585">
        <f ca="1">((PI()*Z7*AA7/4)*(X7^2-Y7^2))*AB7</f>
        <v>3.9808141531248684</v>
      </c>
      <c r="AD7" s="257">
        <f ca="1">(((AC7/386.4)*(X7^2+Y7^2))/8)</f>
        <v>1.1590103318492436E-2</v>
      </c>
      <c r="AE7" s="257" t="e">
        <f ca="1">Ratio</f>
        <v>#N/A</v>
      </c>
      <c r="AF7" s="257" t="e">
        <f ca="1">(AD7/(AE7^2))</f>
        <v>#N/A</v>
      </c>
      <c r="AH7" s="250" t="s">
        <v>578</v>
      </c>
      <c r="AI7" s="251">
        <v>3</v>
      </c>
      <c r="AJ7" s="251">
        <v>0</v>
      </c>
      <c r="AK7" s="257">
        <f ca="1">IF(RollWidth="Y", VALUE(Width)+1.99, VALUE(Width)*0.5)</f>
        <v>1.99</v>
      </c>
      <c r="AL7" s="251">
        <v>0.28299999999999997</v>
      </c>
      <c r="AM7" s="252">
        <v>1</v>
      </c>
      <c r="AN7" s="585">
        <f ca="1">((PI()*AK7*AL7/4)*(AI7^2-AJ7^2))*AM7</f>
        <v>3.9808141531248684</v>
      </c>
      <c r="AO7" s="257">
        <f ca="1">(((AN7/386.4)*(AI7^2+AJ7^2))/8)</f>
        <v>1.1590103318492436E-2</v>
      </c>
      <c r="AP7" s="257" t="e">
        <f ca="1">Ratio</f>
        <v>#N/A</v>
      </c>
      <c r="AQ7" s="257" t="e">
        <f ca="1">(AO7/(AP7^2))</f>
        <v>#N/A</v>
      </c>
      <c r="AS7" s="250" t="s">
        <v>579</v>
      </c>
      <c r="AT7" s="251">
        <v>3</v>
      </c>
      <c r="AU7" s="251">
        <v>0</v>
      </c>
      <c r="AV7" s="257">
        <f ca="1">IF(RollWidth="Y", VALUE(Width)+1.99, VALUE(Width)*0.5)</f>
        <v>1.99</v>
      </c>
      <c r="AW7" s="251">
        <v>0.28299999999999997</v>
      </c>
      <c r="AX7" s="252">
        <v>1</v>
      </c>
      <c r="AY7" s="585">
        <f ca="1">((PI()*AV7*AW7/4)*(AT7^2-AU7^2))*AX7</f>
        <v>3.9808141531248684</v>
      </c>
      <c r="AZ7" s="257">
        <f ca="1">(((AY7/386.4)*(AT7^2+AU7^2))/8)</f>
        <v>1.1590103318492436E-2</v>
      </c>
      <c r="BA7" s="257" t="e">
        <f ca="1">Ratio</f>
        <v>#N/A</v>
      </c>
      <c r="BB7" s="257" t="e">
        <f ca="1">(AZ7/(BA7^2))</f>
        <v>#N/A</v>
      </c>
      <c r="BD7" s="250" t="s">
        <v>579</v>
      </c>
      <c r="BE7" s="251">
        <v>4</v>
      </c>
      <c r="BF7" s="251">
        <v>1</v>
      </c>
      <c r="BG7" s="257">
        <f ca="1">IF(RollWidth="Y", VALUE(Width)+1.99, VALUE(Width)*0.5)</f>
        <v>1.99</v>
      </c>
      <c r="BH7" s="251">
        <v>0.28299999999999997</v>
      </c>
      <c r="BI7" s="252">
        <v>1</v>
      </c>
      <c r="BJ7" s="585">
        <f ca="1">((PI()*BG7*BH7/4)*(BE7^2-BF7^2))*BI7</f>
        <v>6.6346902552081142</v>
      </c>
      <c r="BK7" s="257">
        <f ca="1">(((BJ7/386.4)*(BE7^2+BF7^2))/8)</f>
        <v>3.6487362298957673E-2</v>
      </c>
      <c r="BL7" s="257" t="e">
        <f ca="1">Ratio</f>
        <v>#N/A</v>
      </c>
      <c r="BM7" s="257" t="e">
        <f ca="1">(BK7/(BL7^2))</f>
        <v>#N/A</v>
      </c>
      <c r="BO7" s="250" t="s">
        <v>579</v>
      </c>
      <c r="BP7" s="251">
        <v>4</v>
      </c>
      <c r="BQ7" s="251">
        <v>1</v>
      </c>
      <c r="BR7" s="257">
        <f ca="1">IF(RollWidth="Y", VALUE(Width)+1.99, VALUE(Width)*0.5)</f>
        <v>1.99</v>
      </c>
      <c r="BS7" s="251">
        <v>0.28299999999999997</v>
      </c>
      <c r="BT7" s="252">
        <v>1</v>
      </c>
      <c r="BU7" s="585">
        <f ca="1">((PI()*BR7*BS7/4)*(BP7^2-BQ7^2))*BT7</f>
        <v>6.6346902552081142</v>
      </c>
      <c r="BV7" s="257">
        <f ca="1">(((BU7/386.4)*(BP7^2+BQ7^2))/8)</f>
        <v>3.6487362298957673E-2</v>
      </c>
      <c r="BW7" s="257" t="e">
        <f ca="1">Ratio</f>
        <v>#N/A</v>
      </c>
      <c r="BX7" s="257" t="e">
        <f ca="1">(BV7/(BW7^2))</f>
        <v>#N/A</v>
      </c>
      <c r="BZ7" s="250" t="s">
        <v>579</v>
      </c>
      <c r="CA7" s="251">
        <v>4.5</v>
      </c>
      <c r="CB7" s="251">
        <v>4</v>
      </c>
      <c r="CC7" s="257">
        <f ca="1">IF(RollWidth="Y", VALUE(Width)+1.99, VALUE(Width)*0.5)</f>
        <v>1.99</v>
      </c>
      <c r="CD7" s="251">
        <v>0.05</v>
      </c>
      <c r="CE7" s="252">
        <v>1</v>
      </c>
      <c r="CF7" s="585">
        <f ca="1">((PI()*CC7*CD7/4)*(CA7^2-CB7^2))*CE7</f>
        <v>0.33212524834669599</v>
      </c>
      <c r="CG7" s="257">
        <f ca="1">(((CF7/386.4)*(CA7^2+CB7^2))/8)</f>
        <v>3.8947788084134735E-3</v>
      </c>
      <c r="CH7" s="257" t="e">
        <f ca="1">Ratio</f>
        <v>#N/A</v>
      </c>
      <c r="CI7" s="257" t="e">
        <f ca="1">(CG7/(CH7^2))</f>
        <v>#N/A</v>
      </c>
      <c r="CK7" s="250" t="s">
        <v>579</v>
      </c>
      <c r="CL7" s="251">
        <v>5</v>
      </c>
      <c r="CM7" s="251">
        <v>0</v>
      </c>
      <c r="CN7" s="257">
        <f ca="1">IF(RollWidth="Y", VALUE(Width)+0.49, VALUE(Width)*0.5)</f>
        <v>0.49</v>
      </c>
      <c r="CO7" s="251">
        <v>0.28299999999999997</v>
      </c>
      <c r="CP7" s="252">
        <v>1</v>
      </c>
      <c r="CQ7" s="585">
        <f ca="1">((PI()*CN7*CO7/4)*(CL7^2-CM7^2))*CP7</f>
        <v>2.7227790829581036</v>
      </c>
      <c r="CR7" s="257">
        <f ca="1">(((CQ7/386.4)*(CL7^2+CM7^2))/8)</f>
        <v>2.2020405368126487E-2</v>
      </c>
      <c r="CS7" s="257" t="e">
        <f ca="1">Ratio</f>
        <v>#N/A</v>
      </c>
      <c r="CT7" s="257" t="e">
        <f ca="1">(CR7/(CS7^2))</f>
        <v>#N/A</v>
      </c>
      <c r="CV7" s="250"/>
      <c r="CW7" s="255">
        <v>4.5</v>
      </c>
      <c r="CX7" s="339">
        <v>0</v>
      </c>
      <c r="CY7" s="257">
        <f ca="1">IF(RollWidth="Y", 0, (VALUE(Width)+1.725)-(VALUE(Width)*0.5))</f>
        <v>0</v>
      </c>
      <c r="CZ7" s="251">
        <v>0.28299999999999997</v>
      </c>
      <c r="DA7" s="252">
        <v>1</v>
      </c>
      <c r="DB7" s="585">
        <f ca="1">((PI()*CY7*CZ7/4)*(CW7^2-CX7^2))*DA7</f>
        <v>0</v>
      </c>
      <c r="DC7" s="257">
        <f ca="1">(((DB7/386.4)*(CW7^2+CX7^2))/8)</f>
        <v>0</v>
      </c>
      <c r="DD7" s="257" t="e">
        <f ca="1">Ratio</f>
        <v>#N/A</v>
      </c>
      <c r="DE7" s="257" t="e">
        <f ca="1">(DC7/(DD7^2))</f>
        <v>#N/A</v>
      </c>
      <c r="DG7" s="250"/>
      <c r="DH7" s="339">
        <v>4.5</v>
      </c>
      <c r="DI7" s="339">
        <v>0</v>
      </c>
      <c r="DJ7" s="257">
        <f ca="1">IF(RollWidth="Y", 0, (VALUE(Width)+1.725)-(VALUE(Width)*0.5))</f>
        <v>0</v>
      </c>
      <c r="DK7" s="254">
        <v>0.28299999999999997</v>
      </c>
      <c r="DL7" s="252">
        <v>1</v>
      </c>
      <c r="DM7" s="585">
        <f ca="1">((PI()*DJ7*DK7/4)*(DH7^2-DI7^2))*DL7</f>
        <v>0</v>
      </c>
      <c r="DN7" s="257">
        <f ca="1">(((DM7/386.4)*(DH7^2+DI7^2))/8)</f>
        <v>0</v>
      </c>
      <c r="DO7" s="257" t="e">
        <f ca="1">Ratio</f>
        <v>#N/A</v>
      </c>
      <c r="DP7" s="257" t="e">
        <f ca="1">(DN7/(DO7^2))</f>
        <v>#N/A</v>
      </c>
      <c r="DR7" s="250"/>
      <c r="DS7" s="341">
        <v>6</v>
      </c>
      <c r="DT7" s="341">
        <v>0</v>
      </c>
      <c r="DU7" s="258">
        <f ca="1">IF(RollWidth="Y", 0, (VALUE(Width)+1.725)-(VALUE(Width)*0.5))</f>
        <v>0</v>
      </c>
      <c r="DV7" s="251">
        <v>0.28299999999999997</v>
      </c>
      <c r="DW7" s="252">
        <v>1</v>
      </c>
      <c r="DX7" s="585">
        <f ca="1">((PI()*DU7*DV7/4)*(DS7^2-DT7^2))*DW7</f>
        <v>0</v>
      </c>
      <c r="DY7" s="257">
        <f ca="1">(((DX7/386.4)*(DS7^2+DT7^2))/8)</f>
        <v>0</v>
      </c>
      <c r="DZ7" s="258" t="e">
        <f ca="1">Ratio</f>
        <v>#N/A</v>
      </c>
      <c r="EA7" s="257" t="e">
        <f ca="1">(DY7/(DZ7^2))</f>
        <v>#N/A</v>
      </c>
      <c r="EC7" s="250"/>
      <c r="ED7" s="341">
        <v>7</v>
      </c>
      <c r="EE7" s="341">
        <v>0</v>
      </c>
      <c r="EF7" s="258">
        <f ca="1">(VALUE(Width)+1.75)-(VALUE(Width)*0.5)</f>
        <v>1.75</v>
      </c>
      <c r="EG7" s="251">
        <v>0.28299999999999997</v>
      </c>
      <c r="EH7" s="252">
        <v>1</v>
      </c>
      <c r="EI7" s="585">
        <f ca="1">((PI()*EF7*EG7/4)*(ED7^2-EE7^2))*EH7</f>
        <v>19.059453580706723</v>
      </c>
      <c r="EJ7" s="257">
        <f ca="1">(((EI7/386.4)*(ED7^2+EE7^2))/8)</f>
        <v>0.30211996165069532</v>
      </c>
      <c r="EK7" s="258" t="e">
        <f ca="1">Ratio</f>
        <v>#N/A</v>
      </c>
      <c r="EL7" s="257" t="e">
        <f ca="1">(EJ7/(EK7^2))</f>
        <v>#N/A</v>
      </c>
    </row>
    <row r="8" spans="1:142" ht="15.75" x14ac:dyDescent="0.25">
      <c r="A8" s="250" t="s">
        <v>580</v>
      </c>
      <c r="B8" s="251">
        <v>1</v>
      </c>
      <c r="C8" s="251">
        <v>0</v>
      </c>
      <c r="D8" s="251">
        <v>4.25</v>
      </c>
      <c r="E8" s="251">
        <v>0.28299999999999997</v>
      </c>
      <c r="F8" s="257">
        <v>1</v>
      </c>
      <c r="G8" s="585">
        <f>((PI()*D8*E8/4)*(B8^2-C8^2))*F8</f>
        <v>0.94463764102628089</v>
      </c>
      <c r="H8" s="257">
        <f>(((G8/386.4)*(B8^2+C8^2))/8)</f>
        <v>3.0558929898624515E-4</v>
      </c>
      <c r="I8" s="257" t="e">
        <f ca="1">Ratio</f>
        <v>#N/A</v>
      </c>
      <c r="J8" s="257" t="e">
        <f ca="1">(H8/(I8^2))</f>
        <v>#N/A</v>
      </c>
      <c r="L8" s="250" t="s">
        <v>580</v>
      </c>
      <c r="M8" s="251">
        <v>1</v>
      </c>
      <c r="N8" s="251">
        <v>0</v>
      </c>
      <c r="O8" s="251">
        <v>4.25</v>
      </c>
      <c r="P8" s="251">
        <v>0.28299999999999997</v>
      </c>
      <c r="Q8" s="257">
        <v>1</v>
      </c>
      <c r="R8" s="585">
        <f>((PI()*P8*O8/4)*(M8^2-N8^2))*Q8</f>
        <v>0.94463764102628078</v>
      </c>
      <c r="S8" s="257">
        <f>(((R8/386.4)*(M8^2+N8^2))/8)</f>
        <v>3.055892989862451E-4</v>
      </c>
      <c r="T8" s="257" t="e">
        <f ca="1">Ratio</f>
        <v>#N/A</v>
      </c>
      <c r="U8" s="257" t="e">
        <f ca="1">(S8/(T8^2))</f>
        <v>#N/A</v>
      </c>
      <c r="W8" s="250" t="s">
        <v>1030</v>
      </c>
      <c r="X8" s="251">
        <v>2.63</v>
      </c>
      <c r="Y8" s="251">
        <v>0</v>
      </c>
      <c r="Z8" s="257">
        <f ca="1">IF(RollWidth="Y", 0, VALUE(Width)*0.5+1.99)</f>
        <v>0</v>
      </c>
      <c r="AA8" s="251">
        <v>0.28299999999999997</v>
      </c>
      <c r="AB8" s="252">
        <v>1</v>
      </c>
      <c r="AC8" s="585">
        <f ca="1">((PI()*Z8*AA8/4)*(X8^2-Y8^2))*AB8</f>
        <v>0</v>
      </c>
      <c r="AD8" s="257">
        <f ca="1">(((AC8/386.4)*(X8^2+Y8^2))/8)</f>
        <v>0</v>
      </c>
      <c r="AE8" s="257" t="e">
        <f ca="1">Ratio</f>
        <v>#N/A</v>
      </c>
      <c r="AF8" s="257" t="e">
        <f ca="1">(AD8/(AE8^2))</f>
        <v>#N/A</v>
      </c>
      <c r="AH8" s="250" t="s">
        <v>1030</v>
      </c>
      <c r="AI8" s="251">
        <v>2.625</v>
      </c>
      <c r="AJ8" s="251">
        <v>0</v>
      </c>
      <c r="AK8" s="257">
        <f ca="1">IF(RollWidth="Y", 0, VALUE(Width)*0.5+1.99)</f>
        <v>0</v>
      </c>
      <c r="AL8" s="251">
        <v>0.28299999999999997</v>
      </c>
      <c r="AM8" s="252">
        <v>1</v>
      </c>
      <c r="AN8" s="585">
        <f ca="1">((PI()*AK8*AL8/4)*(AI8^2-AJ8^2))*AM8</f>
        <v>0</v>
      </c>
      <c r="AO8" s="257">
        <f ca="1">(((AN8/386.4)*(AI8^2+AJ8^2))/8)</f>
        <v>0</v>
      </c>
      <c r="AP8" s="257" t="e">
        <f ca="1">Ratio</f>
        <v>#N/A</v>
      </c>
      <c r="AQ8" s="257" t="e">
        <f ca="1">(AO8/(AP8^2))</f>
        <v>#N/A</v>
      </c>
      <c r="AS8" s="250" t="s">
        <v>1030</v>
      </c>
      <c r="AT8" s="251">
        <v>2.63</v>
      </c>
      <c r="AU8" s="251">
        <v>0</v>
      </c>
      <c r="AV8" s="257">
        <f ca="1">IF(RollWidth="Y", 0, VALUE(Width)*0.5+1.99)</f>
        <v>0</v>
      </c>
      <c r="AW8" s="251">
        <v>0.28299999999999997</v>
      </c>
      <c r="AX8" s="257">
        <v>1</v>
      </c>
      <c r="AY8" s="585">
        <f ca="1">((PI()*AV8*AW8/4)*(AT8^2-AU8^2))*AX8</f>
        <v>0</v>
      </c>
      <c r="AZ8" s="257">
        <f ca="1">(((AY8/386.4)*(AT8^2+AU8^2))/8)</f>
        <v>0</v>
      </c>
      <c r="BA8" s="257" t="e">
        <f ca="1">Ratio</f>
        <v>#N/A</v>
      </c>
      <c r="BB8" s="257" t="e">
        <f ca="1">(AZ8/(BA8^2))</f>
        <v>#N/A</v>
      </c>
      <c r="BD8" s="250" t="s">
        <v>1030</v>
      </c>
      <c r="BE8" s="251">
        <v>3.63</v>
      </c>
      <c r="BF8" s="251">
        <v>0</v>
      </c>
      <c r="BG8" s="257">
        <f ca="1">IF(RollWidth="Y", 0, VALUE(Width)*0.5+1.99)</f>
        <v>0</v>
      </c>
      <c r="BH8" s="251">
        <v>0.28299999999999997</v>
      </c>
      <c r="BI8" s="257">
        <v>1</v>
      </c>
      <c r="BJ8" s="585">
        <f ca="1">((PI()*BG8*BH8/4)*(BE8^2-BF8^2))*BI8</f>
        <v>0</v>
      </c>
      <c r="BK8" s="257">
        <f ca="1">(((BJ8/386.4)*(BE8^2+BF8^2))/8)</f>
        <v>0</v>
      </c>
      <c r="BL8" s="257" t="e">
        <f ca="1">Ratio</f>
        <v>#N/A</v>
      </c>
      <c r="BM8" s="257" t="e">
        <f ca="1">(BK8/(BL8^2))</f>
        <v>#N/A</v>
      </c>
      <c r="BO8" s="250" t="s">
        <v>581</v>
      </c>
      <c r="BP8" s="251">
        <v>3.63</v>
      </c>
      <c r="BQ8" s="251">
        <v>0</v>
      </c>
      <c r="BR8" s="257">
        <f ca="1">IF(RollWidth="Y", 0, VALUE(Width)*0.5+1.99)</f>
        <v>0</v>
      </c>
      <c r="BS8" s="251">
        <v>0.28299999999999997</v>
      </c>
      <c r="BT8" s="257">
        <v>1</v>
      </c>
      <c r="BU8" s="585">
        <f ca="1">((PI()*BR8*BS8/4)*(BP8^2-BQ8^2))*BT8</f>
        <v>0</v>
      </c>
      <c r="BV8" s="257">
        <f ca="1">(((BU8/386.4)*(BP8^2+BQ8^2))/8)</f>
        <v>0</v>
      </c>
      <c r="BW8" s="257" t="e">
        <f ca="1">Ratio</f>
        <v>#N/A</v>
      </c>
      <c r="BX8" s="257" t="e">
        <f ca="1">(BV8/(BW8^2))</f>
        <v>#N/A</v>
      </c>
      <c r="BZ8" s="250" t="s">
        <v>1030</v>
      </c>
      <c r="CA8" s="251">
        <v>4</v>
      </c>
      <c r="CB8" s="251">
        <v>3.375</v>
      </c>
      <c r="CC8" s="257">
        <f ca="1">IF(RollWidth="Y", VALUE(Width)+1.99, VALUE(Width)*0.5)</f>
        <v>1.99</v>
      </c>
      <c r="CD8" s="251">
        <v>0.28299999999999997</v>
      </c>
      <c r="CE8" s="257">
        <v>1</v>
      </c>
      <c r="CF8" s="585">
        <f ca="1">((PI()*CC8*CD8/4)*(CA8^2-CB8^2))*CE8</f>
        <v>2.0387850263399936</v>
      </c>
      <c r="CG8" s="257">
        <f ca="1">(((CF8/386.4)*(CA8^2+CB8^2))/8)</f>
        <v>1.8065345533156668E-2</v>
      </c>
      <c r="CH8" s="257" t="e">
        <f ca="1">Ratio</f>
        <v>#N/A</v>
      </c>
      <c r="CI8" s="257" t="e">
        <f ca="1">(CG8/(CH8^2))</f>
        <v>#N/A</v>
      </c>
      <c r="CK8" s="250" t="s">
        <v>1030</v>
      </c>
      <c r="CL8" s="251">
        <v>4</v>
      </c>
      <c r="CM8" s="251">
        <v>0</v>
      </c>
      <c r="CN8" s="257">
        <f ca="1">IF(RollWidth="Y", 0, VALUE(Width)*0.5+1.73)</f>
        <v>0</v>
      </c>
      <c r="CO8" s="251">
        <v>0.28299999999999997</v>
      </c>
      <c r="CP8" s="257">
        <v>1</v>
      </c>
      <c r="CQ8" s="585">
        <f ca="1">((PI()*CN8*CO8/4)*(CL8^2-CM8^2))*CP8</f>
        <v>0</v>
      </c>
      <c r="CR8" s="257">
        <f ca="1">(((CQ8/386.4)*(CL8^2+CM8^2))/8)</f>
        <v>0</v>
      </c>
      <c r="CS8" s="257" t="e">
        <f ca="1">Ratio</f>
        <v>#N/A</v>
      </c>
      <c r="CT8" s="257" t="e">
        <f ca="1">(CR8/(CS8^2))</f>
        <v>#N/A</v>
      </c>
      <c r="CV8" s="250" t="s">
        <v>580</v>
      </c>
      <c r="CW8" s="255">
        <v>2.7549999999999999</v>
      </c>
      <c r="CX8" s="339">
        <v>0</v>
      </c>
      <c r="CY8" s="339">
        <v>4.6500000000000004</v>
      </c>
      <c r="CZ8" s="251">
        <v>0.28299999999999997</v>
      </c>
      <c r="DA8" s="257">
        <v>1</v>
      </c>
      <c r="DB8" s="585">
        <f>((PI()*CY8*CZ8/4)*(CW8^2-CX8^2))*DA8</f>
        <v>7.8446302112204274</v>
      </c>
      <c r="DC8" s="257">
        <f>(((DB8/386.4)*(CW8^2+CX8^2))/8)</f>
        <v>1.9261432265436831E-2</v>
      </c>
      <c r="DD8" s="257" t="e">
        <f ca="1">Ratio</f>
        <v>#N/A</v>
      </c>
      <c r="DE8" s="257" t="e">
        <f ca="1">(DC8/(DD8^2))</f>
        <v>#N/A</v>
      </c>
      <c r="DG8" s="250" t="s">
        <v>580</v>
      </c>
      <c r="DH8" s="339">
        <v>2.76</v>
      </c>
      <c r="DI8" s="339">
        <v>0</v>
      </c>
      <c r="DJ8" s="339">
        <v>4.6500000000000004</v>
      </c>
      <c r="DK8" s="254">
        <v>0.28299999999999997</v>
      </c>
      <c r="DL8" s="257">
        <v>1</v>
      </c>
      <c r="DM8" s="585">
        <f>((PI()*DJ8*DK8/4)*(DH8^2-DI8^2))*DL8</f>
        <v>7.873130206684789</v>
      </c>
      <c r="DN8" s="257">
        <f>(((DM8/386.4)*(DH8^2+DI8^2))/8)</f>
        <v>1.9401642295044656E-2</v>
      </c>
      <c r="DO8" s="257" t="e">
        <f ca="1">Ratio</f>
        <v>#N/A</v>
      </c>
      <c r="DP8" s="257" t="e">
        <f ca="1">(DN8/(DO8^2))</f>
        <v>#N/A</v>
      </c>
      <c r="DR8" s="250" t="s">
        <v>580</v>
      </c>
      <c r="DS8" s="341">
        <v>2.75</v>
      </c>
      <c r="DT8" s="341">
        <v>0</v>
      </c>
      <c r="DU8" s="342">
        <v>4.63</v>
      </c>
      <c r="DV8" s="251">
        <v>0.28299999999999997</v>
      </c>
      <c r="DW8" s="257">
        <v>1</v>
      </c>
      <c r="DX8" s="585">
        <f>((PI()*DU8*DV8/4)*(DS8^2-DT8^2))*DW8</f>
        <v>7.7825639063551959</v>
      </c>
      <c r="DY8" s="257">
        <f>(((DX8/386.4)*(DS8^2+DT8^2))/8)</f>
        <v>1.9039738464612828E-2</v>
      </c>
      <c r="DZ8" s="258" t="e">
        <f ca="1">Ratio</f>
        <v>#N/A</v>
      </c>
      <c r="EA8" s="257" t="e">
        <f ca="1">(DY8/(DZ8^2))</f>
        <v>#N/A</v>
      </c>
      <c r="EC8" s="250" t="s">
        <v>580</v>
      </c>
      <c r="ED8" s="341">
        <v>3.54</v>
      </c>
      <c r="EE8" s="341">
        <v>0</v>
      </c>
      <c r="EF8" s="342">
        <v>5</v>
      </c>
      <c r="EG8" s="251">
        <v>0.28299999999999997</v>
      </c>
      <c r="EH8" s="257">
        <v>1</v>
      </c>
      <c r="EI8" s="585">
        <f>((PI()*EF8*EG8/4)*(ED8^2-EE8^2))*EH8</f>
        <v>13.92684830857052</v>
      </c>
      <c r="EJ8" s="257">
        <f>(((EI8/386.4)*(ED8^2+EE8^2))/8)</f>
        <v>5.6458880778882746E-2</v>
      </c>
      <c r="EK8" s="258" t="e">
        <f ca="1">Ratio</f>
        <v>#N/A</v>
      </c>
      <c r="EL8" s="257" t="e">
        <f ca="1">(EJ8/(EK8^2))</f>
        <v>#N/A</v>
      </c>
    </row>
    <row r="9" spans="1:142" ht="15.75" x14ac:dyDescent="0.25">
      <c r="A9" s="250"/>
      <c r="B9" s="251"/>
      <c r="C9" s="251"/>
      <c r="D9" s="251"/>
      <c r="E9" s="251"/>
      <c r="F9" s="245"/>
      <c r="G9" s="429"/>
      <c r="H9" s="254"/>
      <c r="I9" s="255"/>
      <c r="J9" s="256"/>
      <c r="L9" s="250"/>
      <c r="M9" s="251"/>
      <c r="N9" s="251"/>
      <c r="O9" s="251"/>
      <c r="P9" s="251"/>
      <c r="Q9" s="245"/>
      <c r="R9" s="429"/>
      <c r="S9" s="254"/>
      <c r="T9" s="255"/>
      <c r="U9" s="256"/>
      <c r="W9" s="250" t="s">
        <v>580</v>
      </c>
      <c r="X9" s="251">
        <v>1.575</v>
      </c>
      <c r="Y9" s="251">
        <v>0</v>
      </c>
      <c r="Z9" s="251">
        <v>6.14</v>
      </c>
      <c r="AA9" s="251">
        <v>0.28299999999999997</v>
      </c>
      <c r="AB9" s="257">
        <v>1</v>
      </c>
      <c r="AC9" s="585">
        <f>((PI()*Z9*AA9/4)*(X9^2-Y9^2))*AB9</f>
        <v>3.3853673727959577</v>
      </c>
      <c r="AD9" s="257">
        <f>(((AC9/386.4)*(X9^2+Y9^2))/8)</f>
        <v>2.7166883214097995E-3</v>
      </c>
      <c r="AE9" s="257" t="e">
        <f ca="1">Ratio</f>
        <v>#N/A</v>
      </c>
      <c r="AF9" s="257" t="e">
        <f ca="1">(AD9/(AE9^2))</f>
        <v>#N/A</v>
      </c>
      <c r="AH9" s="250" t="s">
        <v>580</v>
      </c>
      <c r="AI9" s="251">
        <v>1.575</v>
      </c>
      <c r="AJ9" s="251">
        <v>0</v>
      </c>
      <c r="AK9" s="251">
        <v>6.14</v>
      </c>
      <c r="AL9" s="251">
        <v>0.28299999999999997</v>
      </c>
      <c r="AM9" s="257">
        <v>1</v>
      </c>
      <c r="AN9" s="585">
        <f>((PI()*AK9*AL9/4)*(AI9^2-AJ9^2))*AM9</f>
        <v>3.3853673727959577</v>
      </c>
      <c r="AO9" s="257">
        <f>(((AN9/386.4)*(AI9^2+AJ9^2))/8)</f>
        <v>2.7166883214097995E-3</v>
      </c>
      <c r="AP9" s="257" t="e">
        <f ca="1">Ratio</f>
        <v>#N/A</v>
      </c>
      <c r="AQ9" s="257" t="e">
        <f ca="1">(AO9/(AP9^2))</f>
        <v>#N/A</v>
      </c>
      <c r="AS9" s="250" t="s">
        <v>580</v>
      </c>
      <c r="AT9" s="251">
        <v>1.5745</v>
      </c>
      <c r="AU9" s="251">
        <v>0</v>
      </c>
      <c r="AV9" s="251">
        <v>6.14</v>
      </c>
      <c r="AW9" s="251">
        <v>0.28299999999999997</v>
      </c>
      <c r="AX9" s="257">
        <v>1</v>
      </c>
      <c r="AY9" s="585">
        <f>((PI()*AV9*AW9/4)*(AT9^2-AU9^2))*AX9</f>
        <v>3.3832182743750723</v>
      </c>
      <c r="AZ9" s="257">
        <f>(((AY9/386.4)*(AT9^2+AU9^2))/8)</f>
        <v>2.7132402008585963E-3</v>
      </c>
      <c r="BA9" s="257" t="e">
        <f ca="1">Ratio</f>
        <v>#N/A</v>
      </c>
      <c r="BB9" s="257" t="e">
        <f ca="1">(AZ9/(BA9^2))</f>
        <v>#N/A</v>
      </c>
      <c r="BD9" s="250" t="s">
        <v>580</v>
      </c>
      <c r="BE9" s="251">
        <v>2.165</v>
      </c>
      <c r="BF9" s="251">
        <v>0</v>
      </c>
      <c r="BG9" s="251">
        <v>7.01</v>
      </c>
      <c r="BH9" s="251">
        <v>0.28299999999999997</v>
      </c>
      <c r="BI9" s="257">
        <v>1</v>
      </c>
      <c r="BJ9" s="585">
        <f>((PI()*BG9*BH9/4)*(BE9^2-BF9^2))*BI9</f>
        <v>7.3031485789142243</v>
      </c>
      <c r="BK9" s="257">
        <f>(((BJ9/386.4)*(BE9^2+BF9^2))/8)</f>
        <v>1.1073855007052675E-2</v>
      </c>
      <c r="BL9" s="257" t="e">
        <f ca="1">Ratio</f>
        <v>#N/A</v>
      </c>
      <c r="BM9" s="257" t="e">
        <f ca="1">(BK9/(BL9^2))</f>
        <v>#N/A</v>
      </c>
      <c r="BO9" s="250" t="s">
        <v>580</v>
      </c>
      <c r="BP9" s="251">
        <v>2.165</v>
      </c>
      <c r="BQ9" s="251">
        <v>0</v>
      </c>
      <c r="BR9" s="251">
        <v>7.01</v>
      </c>
      <c r="BS9" s="251">
        <v>0.28299999999999997</v>
      </c>
      <c r="BT9" s="257">
        <v>1</v>
      </c>
      <c r="BU9" s="585">
        <f>((PI()*BR9*BS9/4)*(BP9^2-BQ9^2))*BT9</f>
        <v>7.3031485789142243</v>
      </c>
      <c r="BV9" s="257">
        <f>(((BU9/386.4)*(BP9^2+BQ9^2))/8)</f>
        <v>1.1073855007052675E-2</v>
      </c>
      <c r="BW9" s="257" t="e">
        <f ca="1">Ratio</f>
        <v>#N/A</v>
      </c>
      <c r="BX9" s="257" t="e">
        <f ca="1">(BV9/(BW9^2))</f>
        <v>#N/A</v>
      </c>
      <c r="BZ9" s="250" t="s">
        <v>580</v>
      </c>
      <c r="CA9" s="251">
        <v>2.165</v>
      </c>
      <c r="CB9" s="251">
        <v>0</v>
      </c>
      <c r="CC9" s="251">
        <v>7.01</v>
      </c>
      <c r="CD9" s="251">
        <v>0.28299999999999997</v>
      </c>
      <c r="CE9" s="257">
        <v>1</v>
      </c>
      <c r="CF9" s="585">
        <f>((PI()*CC9*CD9/4)*(CA9^2-CB9^2))*CE9</f>
        <v>7.3031485789142243</v>
      </c>
      <c r="CG9" s="257">
        <f>(((CF9/386.4)*(CA9^2+CB9^2))/8)</f>
        <v>1.1073855007052675E-2</v>
      </c>
      <c r="CH9" s="257" t="e">
        <f ca="1">Ratio</f>
        <v>#N/A</v>
      </c>
      <c r="CI9" s="257" t="e">
        <f ca="1">(CG9/(CH9^2))</f>
        <v>#N/A</v>
      </c>
      <c r="CK9" s="250" t="s">
        <v>580</v>
      </c>
      <c r="CL9" s="251">
        <v>2.165</v>
      </c>
      <c r="CM9" s="251">
        <v>0</v>
      </c>
      <c r="CN9" s="251">
        <v>8.18</v>
      </c>
      <c r="CO9" s="251">
        <v>0.28299999999999997</v>
      </c>
      <c r="CP9" s="257">
        <v>1</v>
      </c>
      <c r="CQ9" s="585">
        <f>((PI()*CN9*CO9/4)*(CL9^2-CM9^2))*CP9</f>
        <v>8.522076373112462</v>
      </c>
      <c r="CR9" s="257">
        <f>(((CQ9/386.4)*(CL9^2+CM9^2))/8)</f>
        <v>1.2922130379128512E-2</v>
      </c>
      <c r="CS9" s="257" t="e">
        <f ca="1">Ratio</f>
        <v>#N/A</v>
      </c>
      <c r="CT9" s="257" t="e">
        <f ca="1">(CR9/(CS9^2))</f>
        <v>#N/A</v>
      </c>
      <c r="CV9" s="250"/>
      <c r="CW9" s="255">
        <v>2</v>
      </c>
      <c r="CX9" s="339">
        <v>0</v>
      </c>
      <c r="CY9" s="339">
        <v>3.52</v>
      </c>
      <c r="CZ9" s="251">
        <v>0.28299999999999997</v>
      </c>
      <c r="DA9" s="257">
        <v>1</v>
      </c>
      <c r="DB9" s="585">
        <f>((PI()*CY9*CZ9/4)*(CW9^2-CX9^2))*DA9</f>
        <v>3.129528937800008</v>
      </c>
      <c r="DC9" s="257">
        <f>(((DB9/386.4)*(CW9^2+CX9^2))/8)</f>
        <v>4.0495974868012524E-3</v>
      </c>
      <c r="DD9" s="257" t="e">
        <f ca="1">Ratio</f>
        <v>#N/A</v>
      </c>
      <c r="DE9" s="257" t="e">
        <f ca="1">(DC9/(DD9^2))</f>
        <v>#N/A</v>
      </c>
      <c r="DG9" s="250"/>
      <c r="DH9" s="339">
        <v>2</v>
      </c>
      <c r="DI9" s="339">
        <v>0</v>
      </c>
      <c r="DJ9" s="339">
        <v>3.52</v>
      </c>
      <c r="DK9" s="254">
        <v>0.28299999999999997</v>
      </c>
      <c r="DL9" s="257">
        <v>1</v>
      </c>
      <c r="DM9" s="585">
        <f>((PI()*DJ9*DK9/4)*(DH9^2-DI9^2))*DL9</f>
        <v>3.129528937800008</v>
      </c>
      <c r="DN9" s="257">
        <f>(((DM9/386.4)*(DH9^2+DI9^2))/8)</f>
        <v>4.0495974868012524E-3</v>
      </c>
      <c r="DO9" s="257" t="e">
        <f ca="1">Ratio</f>
        <v>#N/A</v>
      </c>
      <c r="DP9" s="257" t="e">
        <f ca="1">(DN9/(DO9^2))</f>
        <v>#N/A</v>
      </c>
      <c r="DR9" s="250"/>
      <c r="DS9" s="341">
        <v>2</v>
      </c>
      <c r="DT9" s="341">
        <v>0</v>
      </c>
      <c r="DU9" s="258">
        <v>3.52</v>
      </c>
      <c r="DV9" s="251">
        <v>0.28299999999999997</v>
      </c>
      <c r="DW9" s="257">
        <v>1</v>
      </c>
      <c r="DX9" s="585">
        <f>((PI()*DU9*DV9/4)*(DS9^2-DT9^2))*DW9</f>
        <v>3.129528937800008</v>
      </c>
      <c r="DY9" s="257">
        <f>(((DX9/386.4)*(DS9^2+DT9^2))/8)</f>
        <v>4.0495974868012524E-3</v>
      </c>
      <c r="DZ9" s="258" t="e">
        <f ca="1">Ratio</f>
        <v>#N/A</v>
      </c>
      <c r="EA9" s="257" t="e">
        <f ca="1">(DY9/(DZ9^2))</f>
        <v>#N/A</v>
      </c>
      <c r="EC9" s="250"/>
      <c r="ED9" s="341">
        <v>2</v>
      </c>
      <c r="EE9" s="341">
        <v>0</v>
      </c>
      <c r="EF9" s="258">
        <v>3.52</v>
      </c>
      <c r="EG9" s="251">
        <v>0.28299999999999997</v>
      </c>
      <c r="EH9" s="257">
        <v>1</v>
      </c>
      <c r="EI9" s="585">
        <f>((PI()*EF9*EG9/4)*(ED9^2-EE9^2))*EH9</f>
        <v>3.129528937800008</v>
      </c>
      <c r="EJ9" s="257">
        <f>(((EI9/386.4)*(ED9^2+EE9^2))/8)</f>
        <v>4.0495974868012524E-3</v>
      </c>
      <c r="EK9" s="258" t="e">
        <f ca="1">Ratio</f>
        <v>#N/A</v>
      </c>
      <c r="EL9" s="257" t="e">
        <f ca="1">(EJ9/(EK9^2))</f>
        <v>#N/A</v>
      </c>
    </row>
    <row r="10" spans="1:142" ht="15.75" x14ac:dyDescent="0.25">
      <c r="A10" s="250" t="s">
        <v>582</v>
      </c>
      <c r="B10" s="251">
        <v>2.625</v>
      </c>
      <c r="C10" s="251">
        <v>0</v>
      </c>
      <c r="D10" s="257">
        <f ca="1">VALUE(Width)+2.5</f>
        <v>2.5</v>
      </c>
      <c r="E10" s="251">
        <v>0.28299999999999997</v>
      </c>
      <c r="F10" s="257">
        <v>1</v>
      </c>
      <c r="G10" s="585">
        <f ca="1">((PI()*D10*E10/4)*(B10^2-C10^2))*F10</f>
        <v>3.8289080854098332</v>
      </c>
      <c r="H10" s="257">
        <f ca="1">(((G10/386.4)*(B10^2+C10^2))/8)</f>
        <v>8.5350575103607454E-3</v>
      </c>
      <c r="I10" s="257" t="e">
        <f ca="1">Ratio</f>
        <v>#N/A</v>
      </c>
      <c r="J10" s="257" t="e">
        <f ca="1">(H10/(I10^2))</f>
        <v>#N/A</v>
      </c>
      <c r="L10" s="250" t="s">
        <v>582</v>
      </c>
      <c r="M10" s="251">
        <v>2.25</v>
      </c>
      <c r="N10" s="251">
        <v>0</v>
      </c>
      <c r="O10" s="257">
        <f ca="1">VALUE(Width)+2.5</f>
        <v>2.5</v>
      </c>
      <c r="P10" s="251">
        <v>0.28299999999999997</v>
      </c>
      <c r="Q10" s="257">
        <v>1</v>
      </c>
      <c r="R10" s="585">
        <f ca="1">((PI()*P10*O10/4)*(M10^2-N10^2))*Q10</f>
        <v>2.813075328056204</v>
      </c>
      <c r="S10" s="257">
        <f ca="1">(((R10/386.4)*(M10^2+N10^2))/8)</f>
        <v>4.6070114674833509E-3</v>
      </c>
      <c r="T10" s="257" t="e">
        <f ca="1">Ratio</f>
        <v>#N/A</v>
      </c>
      <c r="U10" s="257" t="e">
        <f ca="1">(S10/(T10^2))</f>
        <v>#N/A</v>
      </c>
      <c r="W10" s="250"/>
      <c r="X10" s="251"/>
      <c r="Y10" s="251"/>
      <c r="Z10" s="251"/>
      <c r="AA10" s="251"/>
      <c r="AB10" s="245"/>
      <c r="AC10" s="429"/>
      <c r="AD10" s="254"/>
      <c r="AE10" s="255"/>
      <c r="AF10" s="256"/>
      <c r="AH10" s="250"/>
      <c r="AI10" s="251"/>
      <c r="AJ10" s="251"/>
      <c r="AK10" s="251"/>
      <c r="AL10" s="251"/>
      <c r="AM10" s="245"/>
      <c r="AN10" s="429"/>
      <c r="AO10" s="254"/>
      <c r="AP10" s="245"/>
      <c r="AQ10" s="245"/>
      <c r="AS10" s="250"/>
      <c r="AT10" s="251"/>
      <c r="AU10" s="251"/>
      <c r="AV10" s="251"/>
      <c r="AW10" s="251"/>
      <c r="AX10" s="245"/>
      <c r="AY10" s="429"/>
      <c r="AZ10" s="254"/>
      <c r="BA10" s="251"/>
      <c r="BB10" s="256"/>
      <c r="BD10" s="250"/>
      <c r="BE10" s="251"/>
      <c r="BF10" s="251"/>
      <c r="BG10" s="251"/>
      <c r="BH10" s="251"/>
      <c r="BI10" s="245"/>
      <c r="BJ10" s="429"/>
      <c r="BK10" s="254"/>
      <c r="BL10" s="251"/>
      <c r="BM10" s="245"/>
      <c r="BO10" s="250"/>
      <c r="BP10" s="251"/>
      <c r="BQ10" s="251"/>
      <c r="BR10" s="251"/>
      <c r="BS10" s="251"/>
      <c r="BT10" s="245"/>
      <c r="BU10" s="429"/>
      <c r="BV10" s="254"/>
      <c r="BW10" s="245"/>
      <c r="BX10" s="245"/>
      <c r="BZ10" s="250"/>
      <c r="CA10" s="251"/>
      <c r="CB10" s="251"/>
      <c r="CC10" s="251"/>
      <c r="CD10" s="251"/>
      <c r="CE10" s="245"/>
      <c r="CF10" s="429"/>
      <c r="CG10" s="254"/>
      <c r="CH10" s="245"/>
      <c r="CI10" s="245"/>
      <c r="CK10" s="250"/>
      <c r="CL10" s="251"/>
      <c r="CM10" s="251"/>
      <c r="CN10" s="251"/>
      <c r="CO10" s="251"/>
      <c r="CP10" s="245"/>
      <c r="CQ10" s="429"/>
      <c r="CR10" s="254"/>
      <c r="CS10" s="245"/>
      <c r="CT10" s="245"/>
      <c r="CV10" s="250"/>
      <c r="CW10" s="245"/>
      <c r="CX10" s="339"/>
      <c r="CY10" s="339"/>
      <c r="CZ10" s="245"/>
      <c r="DA10" s="245"/>
      <c r="DB10" s="435"/>
      <c r="DC10" s="254"/>
      <c r="DD10" s="255"/>
      <c r="DE10" s="256"/>
      <c r="DG10" s="250"/>
      <c r="DH10" s="339"/>
      <c r="DI10" s="339"/>
      <c r="DJ10" s="339"/>
      <c r="DK10" s="254"/>
      <c r="DL10" s="245"/>
      <c r="DM10" s="435"/>
      <c r="DN10" s="254"/>
      <c r="DO10" s="255"/>
      <c r="DP10" s="256"/>
      <c r="DR10" s="250"/>
      <c r="DS10" s="258"/>
      <c r="DT10" s="258"/>
      <c r="DU10" s="258"/>
      <c r="DV10" s="245"/>
      <c r="DW10" s="245"/>
      <c r="DX10" s="435"/>
      <c r="DY10" s="254"/>
      <c r="DZ10" s="341"/>
      <c r="EA10" s="256"/>
      <c r="EC10" s="250"/>
      <c r="ED10" s="258"/>
      <c r="EE10" s="258"/>
      <c r="EF10" s="258"/>
      <c r="EG10" s="245"/>
      <c r="EH10" s="245"/>
      <c r="EI10" s="435"/>
      <c r="EJ10" s="254"/>
      <c r="EK10" s="341"/>
      <c r="EL10" s="256"/>
    </row>
    <row r="11" spans="1:142" ht="15.75" x14ac:dyDescent="0.25">
      <c r="A11" s="250" t="s">
        <v>580</v>
      </c>
      <c r="B11" s="251">
        <v>1</v>
      </c>
      <c r="C11" s="251">
        <v>0</v>
      </c>
      <c r="D11" s="251">
        <v>5.5</v>
      </c>
      <c r="E11" s="251">
        <v>0.28299999999999997</v>
      </c>
      <c r="F11" s="257">
        <v>1</v>
      </c>
      <c r="G11" s="585">
        <f>((PI()*D11*E11/4)*(B11^2-C11^2))*F11</f>
        <v>1.2224722413281279</v>
      </c>
      <c r="H11" s="257">
        <f>(((G11/386.4)*(B11^2+C11^2))/8)</f>
        <v>3.9546850457043481E-4</v>
      </c>
      <c r="I11" s="257" t="e">
        <f ca="1">Ratio</f>
        <v>#N/A</v>
      </c>
      <c r="J11" s="257" t="e">
        <f ca="1">(H11/(I11^2))</f>
        <v>#N/A</v>
      </c>
      <c r="L11" s="250" t="s">
        <v>580</v>
      </c>
      <c r="M11" s="251">
        <v>1</v>
      </c>
      <c r="N11" s="251">
        <v>0</v>
      </c>
      <c r="O11" s="251">
        <v>5.5</v>
      </c>
      <c r="P11" s="251">
        <v>0.28299999999999997</v>
      </c>
      <c r="Q11" s="257">
        <v>1</v>
      </c>
      <c r="R11" s="585">
        <f>((PI()*P11*O11/4)*(M11^2-N11^2))*Q11</f>
        <v>1.2224722413281282</v>
      </c>
      <c r="S11" s="257">
        <f>(((R11/386.4)*(M11^2+N11^2))/8)</f>
        <v>3.9546850457043486E-4</v>
      </c>
      <c r="T11" s="257" t="e">
        <f ca="1">Ratio</f>
        <v>#N/A</v>
      </c>
      <c r="U11" s="257" t="e">
        <f ca="1">(S11/(T11^2))</f>
        <v>#N/A</v>
      </c>
      <c r="W11" s="250" t="s">
        <v>582</v>
      </c>
      <c r="X11" s="251">
        <v>3</v>
      </c>
      <c r="Y11" s="251">
        <v>0</v>
      </c>
      <c r="Z11" s="257">
        <f ca="1">IF( RollWidth="Y",VALUE(Width) + 0.5,VALUE(Width)*0.5)</f>
        <v>0.5</v>
      </c>
      <c r="AA11" s="251">
        <v>0.28299999999999997</v>
      </c>
      <c r="AB11" s="257">
        <v>1</v>
      </c>
      <c r="AC11" s="585">
        <f ca="1">((PI()*Z11*AA11/4)*(X11^2-Y11^2))*AB11</f>
        <v>1.0002045610866503</v>
      </c>
      <c r="AD11" s="257">
        <f ca="1">(((AC11/386.4)*(X11^2+Y11^2))/8)</f>
        <v>2.9120862609277481E-3</v>
      </c>
      <c r="AE11" s="257" t="e">
        <f ca="1">Ratio</f>
        <v>#N/A</v>
      </c>
      <c r="AF11" s="257" t="e">
        <f ca="1">(AD11/(AE11^2))</f>
        <v>#N/A</v>
      </c>
      <c r="AH11" s="250" t="s">
        <v>582</v>
      </c>
      <c r="AI11" s="251">
        <v>3</v>
      </c>
      <c r="AJ11" s="251">
        <v>0</v>
      </c>
      <c r="AK11" s="257">
        <f ca="1">IF( RollWidth="Y",VALUE(Width) + 0.5,VALUE(Width)*0.5)</f>
        <v>0.5</v>
      </c>
      <c r="AL11" s="251">
        <v>0.28299999999999997</v>
      </c>
      <c r="AM11" s="257">
        <v>1</v>
      </c>
      <c r="AN11" s="585">
        <f ca="1">((PI()*AK11*AL11/4)*(AI11^2-AJ11^2))*AM11</f>
        <v>1.0002045610866503</v>
      </c>
      <c r="AO11" s="257">
        <f ca="1">(((AN11/386.4)*(AI11^2+AJ11^2))/8)</f>
        <v>2.9120862609277481E-3</v>
      </c>
      <c r="AP11" s="257" t="e">
        <f ca="1">Ratio</f>
        <v>#N/A</v>
      </c>
      <c r="AQ11" s="257" t="e">
        <f ca="1">(AO11/(AP11^2))</f>
        <v>#N/A</v>
      </c>
      <c r="AS11" s="250" t="s">
        <v>583</v>
      </c>
      <c r="AT11" s="251">
        <v>3</v>
      </c>
      <c r="AU11" s="251">
        <v>0</v>
      </c>
      <c r="AV11" s="257">
        <f ca="1">IF( RollWidth="Y",VALUE(Width) + 0.5,VALUE(Width)*0.5)</f>
        <v>0.5</v>
      </c>
      <c r="AW11" s="251">
        <v>0.28299999999999997</v>
      </c>
      <c r="AX11" s="257">
        <v>1</v>
      </c>
      <c r="AY11" s="585">
        <f ca="1">((PI()*AV11*AW11/4)*(AT11^2-AU11^2))*AX11</f>
        <v>1.0002045610866503</v>
      </c>
      <c r="AZ11" s="257">
        <f ca="1">(((AY11/386.4)*(AT11^2+AU11^2))/8)</f>
        <v>2.9120862609277481E-3</v>
      </c>
      <c r="BA11" s="257" t="e">
        <f ca="1">Ratio</f>
        <v>#N/A</v>
      </c>
      <c r="BB11" s="257" t="e">
        <f ca="1">(AZ11/(BA11^2))</f>
        <v>#N/A</v>
      </c>
      <c r="BD11" s="250" t="s">
        <v>583</v>
      </c>
      <c r="BE11" s="251">
        <v>4</v>
      </c>
      <c r="BF11" s="251">
        <v>0</v>
      </c>
      <c r="BG11" s="257">
        <f ca="1">IF( RollWidth="Y",VALUE(Width) + 0.5,VALUE(Width)*0.5)</f>
        <v>0.5</v>
      </c>
      <c r="BH11" s="251">
        <v>0.28299999999999997</v>
      </c>
      <c r="BI11" s="257">
        <v>1</v>
      </c>
      <c r="BJ11" s="585">
        <f ca="1">((PI()*BG11*BH11/4)*(BE11^2-BF11^2))*BI11</f>
        <v>1.7781414419318227</v>
      </c>
      <c r="BK11" s="257">
        <f ca="1">(((BJ11/386.4)*(BE11^2+BF11^2))/8)</f>
        <v>9.2036306518210285E-3</v>
      </c>
      <c r="BL11" s="257" t="e">
        <f ca="1">Ratio</f>
        <v>#N/A</v>
      </c>
      <c r="BM11" s="257" t="e">
        <f ca="1">(BK11/(BL11^2))</f>
        <v>#N/A</v>
      </c>
      <c r="BO11" s="250" t="s">
        <v>583</v>
      </c>
      <c r="BP11" s="251">
        <v>4</v>
      </c>
      <c r="BQ11" s="251">
        <v>0</v>
      </c>
      <c r="BR11" s="257">
        <f ca="1">IF(RollWidth="Y",VALUE(Width) + 0.5,VALUE(Width)*0.5)</f>
        <v>0.5</v>
      </c>
      <c r="BS11" s="251">
        <v>0.28299999999999997</v>
      </c>
      <c r="BT11" s="257">
        <v>1</v>
      </c>
      <c r="BU11" s="585">
        <f ca="1">((PI()*BR11*BS11/4)*(BP11^2-BQ11^2))*BT11</f>
        <v>1.7781414419318227</v>
      </c>
      <c r="BV11" s="257">
        <f ca="1">(((BU11/386.4)*(BP11^2+BQ11^2))/8)</f>
        <v>9.2036306518210285E-3</v>
      </c>
      <c r="BW11" s="257" t="e">
        <f ca="1">Ratio</f>
        <v>#N/A</v>
      </c>
      <c r="BX11" s="257" t="e">
        <f ca="1">(BV11/(BW11^2))</f>
        <v>#N/A</v>
      </c>
      <c r="BZ11" s="250" t="s">
        <v>583</v>
      </c>
      <c r="CA11" s="251">
        <v>4.5</v>
      </c>
      <c r="CB11" s="251">
        <v>4</v>
      </c>
      <c r="CC11" s="257">
        <f ca="1">IF( RollWidth="Y",VALUE(Width) + 0.5,VALUE(Width)*0.5)</f>
        <v>0.5</v>
      </c>
      <c r="CD11" s="251">
        <v>0.05</v>
      </c>
      <c r="CE11" s="257">
        <v>1</v>
      </c>
      <c r="CF11" s="585">
        <f ca="1">((PI()*CC11*CD11/4)*(CA11^2-CB11^2))*CE11</f>
        <v>8.344855486097888E-2</v>
      </c>
      <c r="CG11" s="257">
        <f ca="1">(((CF11/386.4)*(CA11^2+CB11^2))/8)</f>
        <v>9.7858764030489282E-4</v>
      </c>
      <c r="CH11" s="257" t="e">
        <f ca="1">Ratio</f>
        <v>#N/A</v>
      </c>
      <c r="CI11" s="257" t="e">
        <f ca="1">(CG11/(CH11^2))</f>
        <v>#N/A</v>
      </c>
      <c r="CK11" s="250" t="s">
        <v>583</v>
      </c>
      <c r="CL11" s="251">
        <v>5</v>
      </c>
      <c r="CM11" s="251">
        <v>0</v>
      </c>
      <c r="CN11" s="257">
        <f ca="1">IF( RollWidth="Y",VALUE(Width) + 1,VALUE(Width)*0.5)</f>
        <v>1</v>
      </c>
      <c r="CO11" s="251">
        <v>0.28299999999999997</v>
      </c>
      <c r="CP11" s="257">
        <v>1</v>
      </c>
      <c r="CQ11" s="585">
        <f ca="1">((PI()*CN11*CO11/4)*(CL11^2-CM11^2))*CP11</f>
        <v>5.556692006036946</v>
      </c>
      <c r="CR11" s="257">
        <f ca="1">(((CQ11/386.4)*(CL11^2+CM11^2))/8)</f>
        <v>4.4939602792094864E-2</v>
      </c>
      <c r="CS11" s="257" t="e">
        <f ca="1">Ratio</f>
        <v>#N/A</v>
      </c>
      <c r="CT11" s="257" t="e">
        <f ca="1">(CR11/(CS11^2))</f>
        <v>#N/A</v>
      </c>
      <c r="CV11" s="250" t="s">
        <v>582</v>
      </c>
      <c r="CW11" s="255">
        <v>6</v>
      </c>
      <c r="CX11" s="339">
        <v>0</v>
      </c>
      <c r="CY11" s="257">
        <f ca="1">IF(RollWidth="Y",VALUE(Width)+1,VALUE(Width)*0.5)</f>
        <v>1</v>
      </c>
      <c r="CZ11" s="251">
        <v>0.28299999999999997</v>
      </c>
      <c r="DA11" s="257">
        <v>1</v>
      </c>
      <c r="DB11" s="585">
        <f ca="1">((PI()*CY11*CZ11/4)*(CW11^2-CX11^2))*DA11</f>
        <v>8.0016364886932028</v>
      </c>
      <c r="DC11" s="257">
        <f ca="1">(((DB11/386.4)*(CW11^2+CX11^2))/8)</f>
        <v>9.3186760349687939E-2</v>
      </c>
      <c r="DD11" s="257" t="e">
        <f ca="1">Ratio</f>
        <v>#N/A</v>
      </c>
      <c r="DE11" s="257" t="e">
        <f ca="1">(DC11/(DD11^2))</f>
        <v>#N/A</v>
      </c>
      <c r="DG11" s="250" t="s">
        <v>582</v>
      </c>
      <c r="DH11" s="339">
        <v>6</v>
      </c>
      <c r="DI11" s="339">
        <v>0</v>
      </c>
      <c r="DJ11" s="257">
        <f ca="1">IF(RollWidth="Y",VALUE(Width)+1,VALUE(Width)*0.5)</f>
        <v>1</v>
      </c>
      <c r="DK11" s="254">
        <v>0.28299999999999997</v>
      </c>
      <c r="DL11" s="257">
        <v>1</v>
      </c>
      <c r="DM11" s="585">
        <f ca="1">((PI()*DJ11*DK11/4)*(DH11^2-DI11^2))*DL11</f>
        <v>8.0016364886932028</v>
      </c>
      <c r="DN11" s="257">
        <f ca="1">(((DM11/386.4)*(DH11^2+DI11^2))/8)</f>
        <v>9.3186760349687939E-2</v>
      </c>
      <c r="DO11" s="257" t="e">
        <f ca="1">Ratio</f>
        <v>#N/A</v>
      </c>
      <c r="DP11" s="257" t="e">
        <f ca="1">(DN11/(DO11^2))</f>
        <v>#N/A</v>
      </c>
      <c r="DR11" s="250" t="s">
        <v>582</v>
      </c>
      <c r="DS11" s="341">
        <v>7</v>
      </c>
      <c r="DT11" s="341">
        <v>0</v>
      </c>
      <c r="DU11" s="258">
        <f ca="1">IF(RollWidth="Y",VALUE(Width)+1,VALUE(Width)*0.5)</f>
        <v>1</v>
      </c>
      <c r="DV11" s="251">
        <v>0.28299999999999997</v>
      </c>
      <c r="DW11" s="257">
        <v>1</v>
      </c>
      <c r="DX11" s="585">
        <f ca="1">((PI()*DU11*DV11/4)*(DS11^2-DT11^2))*DW11</f>
        <v>10.891116331832414</v>
      </c>
      <c r="DY11" s="257">
        <f ca="1">(((DX11/386.4)*(DS11^2+DT11^2))/8)</f>
        <v>0.17263997808611165</v>
      </c>
      <c r="DZ11" s="258" t="e">
        <f ca="1">Ratio</f>
        <v>#N/A</v>
      </c>
      <c r="EA11" s="257" t="e">
        <f ca="1">(DY11/(DZ11^2))</f>
        <v>#N/A</v>
      </c>
      <c r="EC11" s="250" t="s">
        <v>582</v>
      </c>
      <c r="ED11" s="341">
        <v>8</v>
      </c>
      <c r="EE11" s="341">
        <v>0</v>
      </c>
      <c r="EF11" s="258">
        <f ca="1">VALUE(Width)*0.5</f>
        <v>0</v>
      </c>
      <c r="EG11" s="251">
        <v>0.28299999999999997</v>
      </c>
      <c r="EH11" s="257">
        <v>1</v>
      </c>
      <c r="EI11" s="585">
        <f t="shared" ref="EI11:EI16" ca="1" si="0">((PI()*EF11*EG11/4)*(ED11^2-EE11^2))*EH11</f>
        <v>0</v>
      </c>
      <c r="EJ11" s="257">
        <f t="shared" ref="EJ11:EJ16" ca="1" si="1">(((EI11/386.4)*(ED11^2+EE11^2))/8)</f>
        <v>0</v>
      </c>
      <c r="EK11" s="258" t="e">
        <f t="shared" ref="EK11:EK16" ca="1" si="2">Ratio</f>
        <v>#N/A</v>
      </c>
      <c r="EL11" s="257" t="e">
        <f t="shared" ref="EL11:EL16" ca="1" si="3">(EJ11/(EK11^2))</f>
        <v>#N/A</v>
      </c>
    </row>
    <row r="12" spans="1:142" ht="15.75" x14ac:dyDescent="0.25">
      <c r="A12" s="250"/>
      <c r="B12" s="251"/>
      <c r="C12" s="251"/>
      <c r="D12" s="251"/>
      <c r="E12" s="251"/>
      <c r="F12" s="245"/>
      <c r="G12" s="429"/>
      <c r="H12" s="254"/>
      <c r="I12" s="245"/>
      <c r="J12" s="256"/>
      <c r="L12" s="250"/>
      <c r="M12" s="251"/>
      <c r="N12" s="251"/>
      <c r="O12" s="251"/>
      <c r="P12" s="251"/>
      <c r="Q12" s="245"/>
      <c r="R12" s="429"/>
      <c r="S12" s="254"/>
      <c r="T12" s="245"/>
      <c r="U12" s="256"/>
      <c r="W12" s="250" t="s">
        <v>1030</v>
      </c>
      <c r="X12" s="251">
        <v>2.25</v>
      </c>
      <c r="Y12" s="251">
        <v>0</v>
      </c>
      <c r="Z12" s="257">
        <f ca="1">IF(RollWidth="Y",6.14,VALUE(Width)*0.5)</f>
        <v>6.14</v>
      </c>
      <c r="AA12" s="251">
        <v>0.28299999999999997</v>
      </c>
      <c r="AB12" s="257">
        <v>1</v>
      </c>
      <c r="AC12" s="585">
        <f ca="1">((PI()*Z12*AA12/4)*(X12^2-Y12^2))*AB12</f>
        <v>6.9089130057060366</v>
      </c>
      <c r="AD12" s="257">
        <f ca="1">(((AC12/386.4)*(X12^2+Y12^2))/8)</f>
        <v>1.131482016413911E-2</v>
      </c>
      <c r="AE12" s="257" t="e">
        <f ca="1">Ratio</f>
        <v>#N/A</v>
      </c>
      <c r="AF12" s="257" t="e">
        <f ca="1">(AD12/(AE12^2))</f>
        <v>#N/A</v>
      </c>
      <c r="AH12" s="250" t="s">
        <v>1030</v>
      </c>
      <c r="AI12" s="251">
        <v>2.25</v>
      </c>
      <c r="AJ12" s="251">
        <v>0</v>
      </c>
      <c r="AK12" s="257">
        <f ca="1">IF(RollWidth="Y",6.14,VALUE(Width)*0.5)</f>
        <v>6.14</v>
      </c>
      <c r="AL12" s="251">
        <v>0.28299999999999997</v>
      </c>
      <c r="AM12" s="257">
        <v>1</v>
      </c>
      <c r="AN12" s="585">
        <f ca="1">((PI()*AK12*AL12/4)*(AI12^2-AJ12^2))*AM12</f>
        <v>6.9089130057060366</v>
      </c>
      <c r="AO12" s="257">
        <f ca="1">(((AN12/386.4)*(AI12^2+AJ12^2))/8)</f>
        <v>1.131482016413911E-2</v>
      </c>
      <c r="AP12" s="257" t="e">
        <f ca="1">Ratio</f>
        <v>#N/A</v>
      </c>
      <c r="AQ12" s="257" t="e">
        <f ca="1">(AO12/(AP12^2))</f>
        <v>#N/A</v>
      </c>
      <c r="AS12" s="250" t="s">
        <v>1030</v>
      </c>
      <c r="AT12" s="251">
        <v>2.25</v>
      </c>
      <c r="AU12" s="251">
        <v>0</v>
      </c>
      <c r="AV12" s="257">
        <f ca="1">IF(RollWidth="Y",6.14,VALUE(Width)*0.5)</f>
        <v>6.14</v>
      </c>
      <c r="AW12" s="251">
        <v>0.28299999999999997</v>
      </c>
      <c r="AX12" s="257">
        <v>1</v>
      </c>
      <c r="AY12" s="585">
        <f ca="1">((PI()*AV12*AW12/4)*(AT12^2-AU12^2))*AX12</f>
        <v>6.9089130057060366</v>
      </c>
      <c r="AZ12" s="257">
        <f ca="1">(((AY12/386.4)*(AT12^2+AU12^2))/8)</f>
        <v>1.131482016413911E-2</v>
      </c>
      <c r="BA12" s="257" t="e">
        <f ca="1">Ratio</f>
        <v>#N/A</v>
      </c>
      <c r="BB12" s="257" t="e">
        <f ca="1">(AZ12/(BA12^2))</f>
        <v>#N/A</v>
      </c>
      <c r="BD12" s="250" t="s">
        <v>1030</v>
      </c>
      <c r="BE12" s="251">
        <v>3.25</v>
      </c>
      <c r="BF12" s="251">
        <v>0</v>
      </c>
      <c r="BG12" s="251">
        <v>4.24</v>
      </c>
      <c r="BH12" s="251">
        <v>0.28299999999999997</v>
      </c>
      <c r="BI12" s="257">
        <v>1</v>
      </c>
      <c r="BJ12" s="585">
        <f>((PI()*BG12*BH12/4)*(BE12^2-BF12^2))*BI12</f>
        <v>9.9542580596145864</v>
      </c>
      <c r="BK12" s="257">
        <f>(((BJ12/386.4)*(BE12^2+BF12^2))/8)</f>
        <v>3.4013279876643078E-2</v>
      </c>
      <c r="BL12" s="257" t="e">
        <f ca="1">Ratio</f>
        <v>#N/A</v>
      </c>
      <c r="BM12" s="257" t="e">
        <f ca="1">(BK12/(BL12^2))</f>
        <v>#N/A</v>
      </c>
      <c r="BO12" s="250" t="s">
        <v>581</v>
      </c>
      <c r="BP12" s="251">
        <v>3.25</v>
      </c>
      <c r="BQ12" s="251">
        <v>0</v>
      </c>
      <c r="BR12" s="257">
        <f ca="1">IF(RollWidth="Y",4.24,VALUE(Width)*0.5+4.74)</f>
        <v>4.24</v>
      </c>
      <c r="BS12" s="251">
        <v>0.28299999999999997</v>
      </c>
      <c r="BT12" s="257">
        <v>1</v>
      </c>
      <c r="BU12" s="585">
        <f ca="1">((PI()*BR12*BS12/4)*(BP12^2-BQ12^2))*BT12</f>
        <v>9.9542580596145864</v>
      </c>
      <c r="BV12" s="257">
        <f ca="1">(((BU12/386.4)*(BP12^2+BQ12^2))/8)</f>
        <v>3.4013279876643078E-2</v>
      </c>
      <c r="BW12" s="257" t="e">
        <f ca="1">Ratio</f>
        <v>#N/A</v>
      </c>
      <c r="BX12" s="257" t="e">
        <f ca="1">(BV12/(BW12^2))</f>
        <v>#N/A</v>
      </c>
      <c r="BZ12" s="250" t="s">
        <v>1031</v>
      </c>
      <c r="CA12" s="251">
        <v>4</v>
      </c>
      <c r="CB12" s="251">
        <v>3.375</v>
      </c>
      <c r="CC12" s="257">
        <f ca="1">IF( RollWidth="Y",VALUE(Width) + 0.5,VALUE(Width)*0.5)</f>
        <v>0.5</v>
      </c>
      <c r="CD12" s="251">
        <v>0.28299999999999997</v>
      </c>
      <c r="CE12" s="257">
        <v>1</v>
      </c>
      <c r="CF12" s="585">
        <f ca="1">((PI()*CC12*CD12/4)*(CA12^2-CB12^2))*CE12</f>
        <v>0.51225754430653092</v>
      </c>
      <c r="CG12" s="257">
        <f ca="1">(((CF12/386.4)*(CA12^2+CB12^2))/8)</f>
        <v>4.5390315409941364E-3</v>
      </c>
      <c r="CH12" s="257" t="e">
        <f ca="1">Ratio</f>
        <v>#N/A</v>
      </c>
      <c r="CI12" s="257" t="e">
        <f ca="1">(CG12/(CH12^2))</f>
        <v>#N/A</v>
      </c>
      <c r="CK12" s="250" t="s">
        <v>1030</v>
      </c>
      <c r="CL12" s="251">
        <v>4</v>
      </c>
      <c r="CM12" s="251">
        <v>0</v>
      </c>
      <c r="CN12" s="257">
        <f ca="1">IF(RollWidth="Y",3.906,VALUE(Width)*0.5+5.657)</f>
        <v>3.9060000000000001</v>
      </c>
      <c r="CO12" s="251">
        <v>0.28299999999999997</v>
      </c>
      <c r="CP12" s="257">
        <v>1</v>
      </c>
      <c r="CQ12" s="585">
        <f ca="1">((PI()*CN12*CO12/4)*(CL12^2-CM12^2))*CP12</f>
        <v>13.8908409443714</v>
      </c>
      <c r="CR12" s="257">
        <f ca="1">(((CQ12/386.4)*(CL12^2+CM12^2))/8)</f>
        <v>7.1898762652025883E-2</v>
      </c>
      <c r="CS12" s="257" t="e">
        <f ca="1">Ratio</f>
        <v>#N/A</v>
      </c>
      <c r="CT12" s="257" t="e">
        <f ca="1">(CR12/(CS12^2))</f>
        <v>#N/A</v>
      </c>
      <c r="CV12" s="250"/>
      <c r="CW12" s="255">
        <v>4.5</v>
      </c>
      <c r="CX12" s="339">
        <v>0</v>
      </c>
      <c r="CY12" s="257">
        <f ca="1">IF(RollWidth="Y",4.92,(VALUE(Width)+5.92)-(VALUE(Width)*0.5))</f>
        <v>4.92</v>
      </c>
      <c r="CZ12" s="251">
        <v>0.28299999999999997</v>
      </c>
      <c r="DA12" s="257">
        <v>1</v>
      </c>
      <c r="DB12" s="585">
        <f ca="1">((PI()*CY12*CZ12/4)*(CW12^2-CX12^2))*DA12</f>
        <v>22.144528982458439</v>
      </c>
      <c r="DC12" s="257">
        <f ca="1">(((DB12/386.4)*(CW12^2+CX12^2))/8)</f>
        <v>0.14506557708811574</v>
      </c>
      <c r="DD12" s="257" t="e">
        <f ca="1">Ratio</f>
        <v>#N/A</v>
      </c>
      <c r="DE12" s="257" t="e">
        <f ca="1">(DC12/(DD12^2))</f>
        <v>#N/A</v>
      </c>
      <c r="DG12" s="250"/>
      <c r="DH12" s="339">
        <v>4.5</v>
      </c>
      <c r="DI12" s="339">
        <v>0</v>
      </c>
      <c r="DJ12" s="257">
        <f ca="1">IF(RollWidth="Y",4.92,(VALUE(Width)+5.92)-(VALUE(Width)*0.5))</f>
        <v>4.92</v>
      </c>
      <c r="DK12" s="254">
        <v>0.28299999999999997</v>
      </c>
      <c r="DL12" s="257">
        <v>1</v>
      </c>
      <c r="DM12" s="585">
        <f ca="1">((PI()*DJ12*DK12/4)*(DH12^2-DI12^2))*DL12</f>
        <v>22.144528982458439</v>
      </c>
      <c r="DN12" s="257">
        <f ca="1">(((DM12/386.4)*(DH12^2+DI12^2))/8)</f>
        <v>0.14506557708811574</v>
      </c>
      <c r="DO12" s="257" t="e">
        <f ca="1">Ratio</f>
        <v>#N/A</v>
      </c>
      <c r="DP12" s="257" t="e">
        <f ca="1">(DN12/(DO12^2))</f>
        <v>#N/A</v>
      </c>
      <c r="DR12" s="250"/>
      <c r="DS12" s="341">
        <v>6</v>
      </c>
      <c r="DT12" s="341">
        <v>0</v>
      </c>
      <c r="DU12" s="258">
        <f ca="1">IF(RollWidth="Y",4.92,(VALUE(Width)+5.92)-(VALUE(Width)*0.5))</f>
        <v>4.92</v>
      </c>
      <c r="DV12" s="251">
        <v>0.28299999999999997</v>
      </c>
      <c r="DW12" s="257">
        <v>1</v>
      </c>
      <c r="DX12" s="585">
        <f ca="1">((PI()*DU12*DV12/4)*(DS12^2-DT12^2))*DW12</f>
        <v>39.368051524370557</v>
      </c>
      <c r="DY12" s="257">
        <f ca="1">(((DX12/386.4)*(DS12^2+DT12^2))/8)</f>
        <v>0.45847886092046464</v>
      </c>
      <c r="DZ12" s="258" t="e">
        <f ca="1">Ratio</f>
        <v>#N/A</v>
      </c>
      <c r="EA12" s="257" t="e">
        <f ca="1">(DY12/(DZ12^2))</f>
        <v>#N/A</v>
      </c>
      <c r="EC12" s="250"/>
      <c r="ED12" s="341">
        <v>7</v>
      </c>
      <c r="EE12" s="341">
        <v>0</v>
      </c>
      <c r="EF12" s="258">
        <f ca="1">(VALUE(Width)+6.438)-(VALUE(Width)*0.5)-2</f>
        <v>4.4379999999999997</v>
      </c>
      <c r="EG12" s="251">
        <v>0.28299999999999997</v>
      </c>
      <c r="EH12" s="257">
        <v>1</v>
      </c>
      <c r="EI12" s="585">
        <f t="shared" ca="1" si="0"/>
        <v>48.334774280672249</v>
      </c>
      <c r="EJ12" s="257">
        <f t="shared" ca="1" si="1"/>
        <v>0.76617622274616337</v>
      </c>
      <c r="EK12" s="258" t="e">
        <f t="shared" ca="1" si="2"/>
        <v>#N/A</v>
      </c>
      <c r="EL12" s="257" t="e">
        <f t="shared" ca="1" si="3"/>
        <v>#N/A</v>
      </c>
    </row>
    <row r="13" spans="1:142" ht="15.75" x14ac:dyDescent="0.25">
      <c r="A13" s="250" t="s">
        <v>584</v>
      </c>
      <c r="B13" s="251">
        <v>2</v>
      </c>
      <c r="C13" s="251">
        <v>1.25</v>
      </c>
      <c r="D13" s="251">
        <v>0.75</v>
      </c>
      <c r="E13" s="251">
        <v>0.28299999999999997</v>
      </c>
      <c r="F13" s="257">
        <v>2</v>
      </c>
      <c r="G13" s="585">
        <f>((PI()*D13*E13/4)*(B13^2-C13^2))*F13</f>
        <v>0.81266620588290339</v>
      </c>
      <c r="H13" s="257">
        <f>(((G13/386.4)*(B13^2+C13^2))/8)</f>
        <v>1.462362762106512E-3</v>
      </c>
      <c r="I13" s="257" t="e">
        <f ca="1">(B13/B14)*Ratio</f>
        <v>#N/A</v>
      </c>
      <c r="J13" s="257" t="e">
        <f ca="1">(H13/(I13^2))</f>
        <v>#N/A</v>
      </c>
      <c r="L13" s="250" t="s">
        <v>584</v>
      </c>
      <c r="M13" s="251">
        <v>2</v>
      </c>
      <c r="N13" s="251">
        <v>1.25</v>
      </c>
      <c r="O13" s="251">
        <v>0.75</v>
      </c>
      <c r="P13" s="251">
        <v>0.28299999999999997</v>
      </c>
      <c r="Q13" s="257">
        <v>2</v>
      </c>
      <c r="R13" s="585">
        <f>((PI()*P13*O13/4)*(M13^2-N13^2))*Q13</f>
        <v>0.81266620588290339</v>
      </c>
      <c r="S13" s="257">
        <f>(((R13/386.4)*(M13^2+N13^2))/8)</f>
        <v>1.462362762106512E-3</v>
      </c>
      <c r="T13" s="257" t="e">
        <f ca="1">(M13/M14)*Ratio</f>
        <v>#N/A</v>
      </c>
      <c r="U13" s="257" t="e">
        <f ca="1">(S13/(T13^2))</f>
        <v>#N/A</v>
      </c>
      <c r="W13" s="250" t="s">
        <v>580</v>
      </c>
      <c r="X13" s="251">
        <v>1.575</v>
      </c>
      <c r="Y13" s="251">
        <v>0</v>
      </c>
      <c r="Z13" s="251">
        <v>7.76</v>
      </c>
      <c r="AA13" s="251">
        <v>0.28299999999999997</v>
      </c>
      <c r="AB13" s="257">
        <v>1</v>
      </c>
      <c r="AC13" s="585">
        <f>((PI()*Z13*AA13/4)*(X13^2-Y13^2))*AB13</f>
        <v>4.2785750509603639</v>
      </c>
      <c r="AD13" s="257">
        <f>(((AC13/386.4)*(X13^2+Y13^2))/8)</f>
        <v>3.4334692791759035E-3</v>
      </c>
      <c r="AE13" s="257" t="e">
        <f ca="1">Ratio</f>
        <v>#N/A</v>
      </c>
      <c r="AF13" s="257" t="e">
        <f ca="1">(AD13/(AE13^2))</f>
        <v>#N/A</v>
      </c>
      <c r="AH13" s="250" t="s">
        <v>580</v>
      </c>
      <c r="AI13" s="251">
        <v>1.575</v>
      </c>
      <c r="AJ13" s="251">
        <v>0</v>
      </c>
      <c r="AK13" s="251">
        <v>7.76</v>
      </c>
      <c r="AL13" s="251">
        <v>0.28299999999999997</v>
      </c>
      <c r="AM13" s="257">
        <v>1</v>
      </c>
      <c r="AN13" s="585">
        <f>((PI()*AK13*AL13/4)*(AI13^2-AJ13^2))*AM13</f>
        <v>4.2785750509603639</v>
      </c>
      <c r="AO13" s="257">
        <f>(((AN13/386.4)*(AI13^2+AJ13^2))/8)</f>
        <v>3.4334692791759035E-3</v>
      </c>
      <c r="AP13" s="257" t="e">
        <f ca="1">Ratio</f>
        <v>#N/A</v>
      </c>
      <c r="AQ13" s="257" t="e">
        <f ca="1">(AO13/(AP13^2))</f>
        <v>#N/A</v>
      </c>
      <c r="AS13" s="250" t="s">
        <v>580</v>
      </c>
      <c r="AT13" s="251">
        <v>1.5745</v>
      </c>
      <c r="AU13" s="251">
        <v>0</v>
      </c>
      <c r="AV13" s="251">
        <v>7.76</v>
      </c>
      <c r="AW13" s="251">
        <v>0.28299999999999997</v>
      </c>
      <c r="AX13" s="257">
        <v>1</v>
      </c>
      <c r="AY13" s="585">
        <f>((PI()*AV13*AW13/4)*(AT13^2-AU13^2))*AX13</f>
        <v>4.275858926571753</v>
      </c>
      <c r="AZ13" s="257">
        <f>(((AY13/386.4)*(AT13^2+AU13^2))/8)</f>
        <v>3.429111393919008E-3</v>
      </c>
      <c r="BA13" s="257" t="e">
        <f ca="1">Ratio</f>
        <v>#N/A</v>
      </c>
      <c r="BB13" s="257" t="e">
        <f ca="1">(AZ13/(BA13^2))</f>
        <v>#N/A</v>
      </c>
      <c r="BD13" s="250" t="s">
        <v>580</v>
      </c>
      <c r="BE13" s="251">
        <v>2.7549999999999999</v>
      </c>
      <c r="BF13" s="251">
        <v>0</v>
      </c>
      <c r="BG13" s="251">
        <v>7.76</v>
      </c>
      <c r="BH13" s="251">
        <v>0.28299999999999997</v>
      </c>
      <c r="BI13" s="257">
        <v>1</v>
      </c>
      <c r="BJ13" s="585">
        <f>((PI()*BG13*BH13/4)*(BE13^2-BF13^2))*BI13</f>
        <v>13.091253857864626</v>
      </c>
      <c r="BK13" s="257">
        <f>(((BJ13/386.4)*(BE13^2+BF13^2))/8)</f>
        <v>3.2143809544040808E-2</v>
      </c>
      <c r="BL13" s="257" t="e">
        <f ca="1">Ratio</f>
        <v>#N/A</v>
      </c>
      <c r="BM13" s="257" t="e">
        <f ca="1">(BK13/(BL13^2))</f>
        <v>#N/A</v>
      </c>
      <c r="BO13" s="250" t="s">
        <v>580</v>
      </c>
      <c r="BP13" s="251">
        <v>2.7549999999999999</v>
      </c>
      <c r="BQ13" s="251">
        <v>0</v>
      </c>
      <c r="BR13" s="251">
        <v>7.76</v>
      </c>
      <c r="BS13" s="251">
        <v>0.28299999999999997</v>
      </c>
      <c r="BT13" s="257">
        <v>1</v>
      </c>
      <c r="BU13" s="585">
        <f>((PI()*BR13*BS13/4)*(BP13^2-BQ13^2))*BT13</f>
        <v>13.091253857864626</v>
      </c>
      <c r="BV13" s="257">
        <f>(((BU13/386.4)*(BP13^2+BQ13^2))/8)</f>
        <v>3.2143809544040808E-2</v>
      </c>
      <c r="BW13" s="257" t="e">
        <f ca="1">Ratio</f>
        <v>#N/A</v>
      </c>
      <c r="BX13" s="257" t="e">
        <f ca="1">(BV13/(BW13^2))</f>
        <v>#N/A</v>
      </c>
      <c r="BZ13" s="250" t="s">
        <v>580</v>
      </c>
      <c r="CA13" s="251">
        <v>2.7549999999999999</v>
      </c>
      <c r="CB13" s="251">
        <v>0</v>
      </c>
      <c r="CC13" s="251">
        <v>7.76</v>
      </c>
      <c r="CD13" s="251">
        <v>0.28299999999999997</v>
      </c>
      <c r="CE13" s="257">
        <v>1</v>
      </c>
      <c r="CF13" s="585">
        <f>((PI()*CC13*CD13/4)*(CA13^2-CB13^2))*CE13</f>
        <v>13.091253857864626</v>
      </c>
      <c r="CG13" s="257">
        <f>(((CF13/386.4)*(CA13^2+CB13^2))/8)</f>
        <v>3.2143809544040808E-2</v>
      </c>
      <c r="CH13" s="257" t="e">
        <f ca="1">Ratio</f>
        <v>#N/A</v>
      </c>
      <c r="CI13" s="257" t="e">
        <f ca="1">(CG13/(CH13^2))</f>
        <v>#N/A</v>
      </c>
      <c r="CK13" s="250" t="s">
        <v>580</v>
      </c>
      <c r="CL13" s="251">
        <v>2.4359999999999999</v>
      </c>
      <c r="CM13" s="251">
        <v>0</v>
      </c>
      <c r="CN13" s="257">
        <f ca="1">IF(RollWidth="Y",16.75,10.968)</f>
        <v>16.75</v>
      </c>
      <c r="CO13" s="251">
        <v>0.28299999999999997</v>
      </c>
      <c r="CP13" s="257">
        <v>1</v>
      </c>
      <c r="CQ13" s="585">
        <f ca="1">((PI()*CN13*CO13/4)*(CL13^2-CM13^2))*CP13</f>
        <v>22.092542350191394</v>
      </c>
      <c r="CR13" s="257">
        <f ca="1">(((CQ13/386.4)*(CL13^2+CM13^2))/8)</f>
        <v>4.2410477222470676E-2</v>
      </c>
      <c r="CS13" s="257" t="e">
        <f ca="1">Ratio</f>
        <v>#N/A</v>
      </c>
      <c r="CT13" s="257" t="e">
        <f ca="1">(CR13/(CS13^2))</f>
        <v>#N/A</v>
      </c>
      <c r="CV13" s="250" t="s">
        <v>580</v>
      </c>
      <c r="CW13" s="255">
        <v>2.75</v>
      </c>
      <c r="CX13" s="339">
        <v>0</v>
      </c>
      <c r="CY13" s="339">
        <v>5.44</v>
      </c>
      <c r="CZ13" s="251">
        <v>0.28299999999999997</v>
      </c>
      <c r="DA13" s="257">
        <v>1</v>
      </c>
      <c r="DB13" s="585">
        <f>((PI()*CY13*CZ13/4)*(CW13^2-CX13^2))*DA13</f>
        <v>9.1440923651343997</v>
      </c>
      <c r="DC13" s="257">
        <f>(((DB13/386.4)*(CW13^2+CX13^2))/8)</f>
        <v>2.2370664632288078E-2</v>
      </c>
      <c r="DD13" s="257" t="e">
        <f ca="1">Ratio</f>
        <v>#N/A</v>
      </c>
      <c r="DE13" s="257" t="e">
        <f ca="1">(DC13/(DD13^2))</f>
        <v>#N/A</v>
      </c>
      <c r="DG13" s="250" t="s">
        <v>580</v>
      </c>
      <c r="DH13" s="339">
        <v>2.75</v>
      </c>
      <c r="DI13" s="339">
        <v>0</v>
      </c>
      <c r="DJ13" s="339">
        <v>5.44</v>
      </c>
      <c r="DK13" s="254">
        <v>0.28299999999999997</v>
      </c>
      <c r="DL13" s="257">
        <v>1</v>
      </c>
      <c r="DM13" s="585">
        <f>((PI()*DJ13*DK13/4)*(DH13^2-DI13^2))*DL13</f>
        <v>9.1440923651343997</v>
      </c>
      <c r="DN13" s="257">
        <f>(((DM13/386.4)*(DH13^2+DI13^2))/8)</f>
        <v>2.2370664632288078E-2</v>
      </c>
      <c r="DO13" s="257" t="e">
        <f ca="1">Ratio</f>
        <v>#N/A</v>
      </c>
      <c r="DP13" s="257" t="e">
        <f ca="1">(DN13/(DO13^2))</f>
        <v>#N/A</v>
      </c>
      <c r="DR13" s="250" t="s">
        <v>580</v>
      </c>
      <c r="DS13" s="341">
        <v>2</v>
      </c>
      <c r="DT13" s="341">
        <v>0</v>
      </c>
      <c r="DU13" s="258">
        <v>3.52</v>
      </c>
      <c r="DV13" s="251">
        <v>0.28299999999999997</v>
      </c>
      <c r="DW13" s="257">
        <v>1</v>
      </c>
      <c r="DX13" s="585">
        <f>((PI()*DU13*DV13/4)*(DS13^2-DT13^2))*DW13</f>
        <v>3.129528937800008</v>
      </c>
      <c r="DY13" s="257">
        <f>(((DX13/386.4)*(DS13^2+DT13^2))/8)</f>
        <v>4.0495974868012524E-3</v>
      </c>
      <c r="DZ13" s="258" t="e">
        <f ca="1">Ratio</f>
        <v>#N/A</v>
      </c>
      <c r="EA13" s="257" t="e">
        <f ca="1">(DY13/(DZ13^2))</f>
        <v>#N/A</v>
      </c>
      <c r="EC13" s="250" t="s">
        <v>580</v>
      </c>
      <c r="ED13" s="341">
        <v>2</v>
      </c>
      <c r="EE13" s="341">
        <v>0</v>
      </c>
      <c r="EF13" s="258">
        <v>3.52</v>
      </c>
      <c r="EG13" s="251">
        <v>0.28299999999999997</v>
      </c>
      <c r="EH13" s="257">
        <v>1</v>
      </c>
      <c r="EI13" s="585">
        <f t="shared" si="0"/>
        <v>3.129528937800008</v>
      </c>
      <c r="EJ13" s="257">
        <f t="shared" si="1"/>
        <v>4.0495974868012524E-3</v>
      </c>
      <c r="EK13" s="258" t="e">
        <f t="shared" ca="1" si="2"/>
        <v>#N/A</v>
      </c>
      <c r="EL13" s="257" t="e">
        <f t="shared" ca="1" si="3"/>
        <v>#N/A</v>
      </c>
    </row>
    <row r="14" spans="1:142" ht="15.75" x14ac:dyDescent="0.25">
      <c r="A14" s="250" t="s">
        <v>585</v>
      </c>
      <c r="B14" s="251">
        <v>2</v>
      </c>
      <c r="C14" s="251">
        <v>1</v>
      </c>
      <c r="D14" s="251">
        <v>0.75</v>
      </c>
      <c r="E14" s="251">
        <v>0.28299999999999997</v>
      </c>
      <c r="F14" s="257">
        <v>2</v>
      </c>
      <c r="G14" s="585">
        <f>((PI()*D14*E14/4)*(B14^2-C14^2))*F14</f>
        <v>1.0002045610866503</v>
      </c>
      <c r="H14" s="257">
        <f>(((G14/386.4)*(B14^2+C14^2))/8)</f>
        <v>1.6178257005154155E-3</v>
      </c>
      <c r="I14" s="257" t="e">
        <f ca="1">Ratio</f>
        <v>#N/A</v>
      </c>
      <c r="J14" s="257" t="e">
        <f ca="1">(H14/(I14^2))</f>
        <v>#N/A</v>
      </c>
      <c r="L14" s="250" t="s">
        <v>585</v>
      </c>
      <c r="M14" s="251">
        <v>2</v>
      </c>
      <c r="N14" s="251">
        <v>1</v>
      </c>
      <c r="O14" s="251">
        <v>0.75</v>
      </c>
      <c r="P14" s="251">
        <v>0.28299999999999997</v>
      </c>
      <c r="Q14" s="257">
        <v>2</v>
      </c>
      <c r="R14" s="585">
        <f>((PI()*P14*O14/4)*(M14^2-N14^2))*Q14</f>
        <v>1.0002045610866503</v>
      </c>
      <c r="S14" s="257">
        <f>(((R14/386.4)*(M14^2+N14^2))/8)</f>
        <v>1.6178257005154155E-3</v>
      </c>
      <c r="T14" s="257" t="e">
        <f ca="1">Ratio</f>
        <v>#N/A</v>
      </c>
      <c r="U14" s="257" t="e">
        <f ca="1">(S14/(T14^2))</f>
        <v>#N/A</v>
      </c>
      <c r="W14" s="250"/>
      <c r="X14" s="251"/>
      <c r="Y14" s="251"/>
      <c r="Z14" s="251"/>
      <c r="AA14" s="251"/>
      <c r="AB14" s="245"/>
      <c r="AC14" s="429"/>
      <c r="AD14" s="254"/>
      <c r="AE14" s="245"/>
      <c r="AF14" s="256"/>
      <c r="AH14" s="250"/>
      <c r="AI14" s="251"/>
      <c r="AJ14" s="251"/>
      <c r="AK14" s="251"/>
      <c r="AL14" s="251"/>
      <c r="AM14" s="245"/>
      <c r="AN14" s="429"/>
      <c r="AO14" s="254"/>
      <c r="AP14" s="245"/>
      <c r="AQ14" s="245"/>
      <c r="AS14" s="250"/>
      <c r="AT14" s="251"/>
      <c r="AU14" s="251"/>
      <c r="AV14" s="251"/>
      <c r="AW14" s="251"/>
      <c r="AX14" s="245"/>
      <c r="AY14" s="429"/>
      <c r="AZ14" s="254"/>
      <c r="BA14" s="251"/>
      <c r="BB14" s="256"/>
      <c r="BD14" s="250"/>
      <c r="BE14" s="251"/>
      <c r="BF14" s="251"/>
      <c r="BG14" s="251"/>
      <c r="BH14" s="251"/>
      <c r="BI14" s="245"/>
      <c r="BJ14" s="429"/>
      <c r="BK14" s="254"/>
      <c r="BL14" s="251"/>
      <c r="BM14" s="245"/>
      <c r="BO14" s="250"/>
      <c r="BP14" s="251"/>
      <c r="BQ14" s="251"/>
      <c r="BR14" s="251"/>
      <c r="BS14" s="251"/>
      <c r="BT14" s="245"/>
      <c r="BU14" s="429"/>
      <c r="BV14" s="254"/>
      <c r="BW14" s="245"/>
      <c r="BX14" s="245"/>
      <c r="BZ14" s="250"/>
      <c r="CA14" s="251"/>
      <c r="CB14" s="251"/>
      <c r="CC14" s="251"/>
      <c r="CD14" s="251"/>
      <c r="CE14" s="245"/>
      <c r="CF14" s="429"/>
      <c r="CG14" s="254"/>
      <c r="CH14" s="245"/>
      <c r="CI14" s="245"/>
      <c r="CK14" s="250"/>
      <c r="CL14" s="251"/>
      <c r="CM14" s="251"/>
      <c r="CN14" s="251"/>
      <c r="CO14" s="251"/>
      <c r="CP14" s="245"/>
      <c r="CQ14" s="429"/>
      <c r="CR14" s="254"/>
      <c r="CS14" s="245"/>
      <c r="CT14" s="245"/>
      <c r="CV14" s="250"/>
      <c r="CW14" s="255">
        <v>3.4990000000000001</v>
      </c>
      <c r="CX14" s="339">
        <v>0</v>
      </c>
      <c r="CY14" s="339">
        <v>6.3920000000000003</v>
      </c>
      <c r="CZ14" s="251">
        <v>0.28299999999999997</v>
      </c>
      <c r="DA14" s="257">
        <v>1</v>
      </c>
      <c r="DB14" s="585">
        <f>((PI()*CY14*CZ14/4)*(CW14^2-CX14^2))*DA14</f>
        <v>17.39406017391849</v>
      </c>
      <c r="DC14" s="257">
        <f>(((DB14/386.4)*(CW14^2+CX14^2))/8)</f>
        <v>6.8890882538607756E-2</v>
      </c>
      <c r="DD14" s="257" t="e">
        <f ca="1">Ratio</f>
        <v>#N/A</v>
      </c>
      <c r="DE14" s="257" t="e">
        <f ca="1">(DC14/(DD14^2))</f>
        <v>#N/A</v>
      </c>
      <c r="DG14" s="250"/>
      <c r="DH14" s="339"/>
      <c r="DI14" s="339"/>
      <c r="DJ14" s="339"/>
      <c r="DK14" s="254"/>
      <c r="DL14" s="257"/>
      <c r="DM14" s="435"/>
      <c r="DN14" s="254"/>
      <c r="DO14" s="255"/>
      <c r="DP14" s="256"/>
      <c r="DR14" s="250"/>
      <c r="DS14" s="341">
        <v>2.75</v>
      </c>
      <c r="DT14" s="341">
        <v>0</v>
      </c>
      <c r="DU14" s="258">
        <v>1.63</v>
      </c>
      <c r="DV14" s="251">
        <v>0.28299999999999997</v>
      </c>
      <c r="DW14" s="257">
        <v>1</v>
      </c>
      <c r="DX14" s="585">
        <f>((PI()*DU14*DV14/4)*(DS14^2-DT14^2))*DW14</f>
        <v>2.739865910876667</v>
      </c>
      <c r="DY14" s="257">
        <f>(((DX14/386.4)*(DS14^2+DT14^2))/8)</f>
        <v>6.7029748806304336E-3</v>
      </c>
      <c r="DZ14" s="258" t="e">
        <f ca="1">Ratio</f>
        <v>#N/A</v>
      </c>
      <c r="EA14" s="257" t="e">
        <f ca="1">(DY14/(DZ14^2))</f>
        <v>#N/A</v>
      </c>
      <c r="EC14" s="250"/>
      <c r="ED14" s="341">
        <v>3.5</v>
      </c>
      <c r="EE14" s="341">
        <v>0</v>
      </c>
      <c r="EF14" s="258">
        <v>8.75</v>
      </c>
      <c r="EG14" s="251">
        <v>0.28299999999999997</v>
      </c>
      <c r="EH14" s="257">
        <v>1</v>
      </c>
      <c r="EI14" s="585">
        <f t="shared" si="0"/>
        <v>23.824316975883406</v>
      </c>
      <c r="EJ14" s="257">
        <f t="shared" si="1"/>
        <v>9.4412488015842302E-2</v>
      </c>
      <c r="EK14" s="258" t="e">
        <f t="shared" ca="1" si="2"/>
        <v>#N/A</v>
      </c>
      <c r="EL14" s="257" t="e">
        <f t="shared" ca="1" si="3"/>
        <v>#N/A</v>
      </c>
    </row>
    <row r="15" spans="1:142" ht="15.75" x14ac:dyDescent="0.25">
      <c r="A15" s="250"/>
      <c r="B15" s="251"/>
      <c r="C15" s="251"/>
      <c r="D15" s="251"/>
      <c r="E15" s="251"/>
      <c r="F15" s="245"/>
      <c r="G15" s="429"/>
      <c r="H15" s="254"/>
      <c r="I15" s="255"/>
      <c r="J15" s="256"/>
      <c r="L15" s="250"/>
      <c r="M15" s="251"/>
      <c r="N15" s="251"/>
      <c r="O15" s="251"/>
      <c r="P15" s="251"/>
      <c r="Q15" s="245"/>
      <c r="R15" s="429"/>
      <c r="S15" s="254"/>
      <c r="T15" s="255"/>
      <c r="U15" s="256"/>
      <c r="W15" s="250" t="s">
        <v>584</v>
      </c>
      <c r="X15" s="251">
        <v>3</v>
      </c>
      <c r="Y15" s="251">
        <v>1.75</v>
      </c>
      <c r="Z15" s="251">
        <v>1</v>
      </c>
      <c r="AA15" s="251">
        <v>0.28299999999999997</v>
      </c>
      <c r="AB15" s="257">
        <v>2</v>
      </c>
      <c r="AC15" s="585">
        <f>((PI()*Z15*AA15/4)*(X15^2-Y15^2))*AB15</f>
        <v>2.6394287028675492</v>
      </c>
      <c r="AD15" s="257">
        <f>(((AC15/386.4)*(X15^2+Y15^2))/8)</f>
        <v>1.0299595214913242E-2</v>
      </c>
      <c r="AE15" s="257" t="e">
        <f ca="1">(X15/X16)*Ratio</f>
        <v>#N/A</v>
      </c>
      <c r="AF15" s="257" t="e">
        <f ca="1">(AD15/(AE15^2))</f>
        <v>#N/A</v>
      </c>
      <c r="AH15" s="250" t="s">
        <v>584</v>
      </c>
      <c r="AI15" s="251">
        <v>3</v>
      </c>
      <c r="AJ15" s="251">
        <v>1.75</v>
      </c>
      <c r="AK15" s="251">
        <v>1</v>
      </c>
      <c r="AL15" s="251">
        <v>0.28299999999999997</v>
      </c>
      <c r="AM15" s="257">
        <v>2</v>
      </c>
      <c r="AN15" s="585">
        <f>((PI()*AK15*AL15/4)*(AI15^2-AJ15^2))*AM15</f>
        <v>2.6394287028675492</v>
      </c>
      <c r="AO15" s="257">
        <f>(((AN15/386.4)*(AI15^2+AJ15^2))/8)</f>
        <v>1.0299595214913242E-2</v>
      </c>
      <c r="AP15" s="257" t="e">
        <f ca="1">(AI15/AI16)*Ratio</f>
        <v>#N/A</v>
      </c>
      <c r="AQ15" s="257" t="e">
        <f ca="1">(AO15/(AP15^2))</f>
        <v>#N/A</v>
      </c>
      <c r="AS15" s="250" t="s">
        <v>584</v>
      </c>
      <c r="AT15" s="251">
        <v>3</v>
      </c>
      <c r="AU15" s="251">
        <v>1.7497</v>
      </c>
      <c r="AV15" s="251">
        <v>1</v>
      </c>
      <c r="AW15" s="251">
        <v>0.28299999999999997</v>
      </c>
      <c r="AX15" s="257">
        <v>2</v>
      </c>
      <c r="AY15" s="585">
        <f>((PI()*AV15*AW15/4)*(AT15^2-AU15^2))*AX15</f>
        <v>2.6398954249878739</v>
      </c>
      <c r="AZ15" s="257">
        <f>(((AY15/386.4)*(AT15^2+AU15^2))/8)</f>
        <v>1.0300519834145505E-2</v>
      </c>
      <c r="BA15" s="257" t="e">
        <f ca="1">(AT15/AT16)*Ratio</f>
        <v>#N/A</v>
      </c>
      <c r="BB15" s="257" t="e">
        <f ca="1">(AZ15/(BA15^2))</f>
        <v>#N/A</v>
      </c>
      <c r="BD15" s="250" t="s">
        <v>584</v>
      </c>
      <c r="BE15" s="251">
        <v>4</v>
      </c>
      <c r="BF15" s="251">
        <v>1.7497</v>
      </c>
      <c r="BG15" s="251">
        <v>1.25</v>
      </c>
      <c r="BH15" s="251">
        <v>0.28299999999999997</v>
      </c>
      <c r="BI15" s="257">
        <v>2</v>
      </c>
      <c r="BJ15" s="585">
        <f>((PI()*BG15*BH15/4)*(BE15^2-BF15^2))*BI15</f>
        <v>7.1895536854607043</v>
      </c>
      <c r="BK15" s="257">
        <f>(((BJ15/386.4)*(BE15^2+BF15^2))/8)</f>
        <v>4.4333371747148291E-2</v>
      </c>
      <c r="BL15" s="257" t="e">
        <f ca="1">(BE15/BE16)*Ratio</f>
        <v>#N/A</v>
      </c>
      <c r="BM15" s="257" t="e">
        <f ca="1">(BK15/(BL15^2))</f>
        <v>#N/A</v>
      </c>
      <c r="BO15" s="250" t="s">
        <v>584</v>
      </c>
      <c r="BP15" s="251">
        <v>4</v>
      </c>
      <c r="BQ15" s="251">
        <v>1.7497</v>
      </c>
      <c r="BR15" s="251">
        <v>1.25</v>
      </c>
      <c r="BS15" s="251">
        <v>0.28299999999999997</v>
      </c>
      <c r="BT15" s="257">
        <v>2</v>
      </c>
      <c r="BU15" s="585">
        <f>((PI()*BR15*BS15/4)*(BP15^2-BQ15^2))*BT15</f>
        <v>7.1895536854607043</v>
      </c>
      <c r="BV15" s="257">
        <f>(((BU15/386.4)*(BP15^2+BQ15^2))/8)</f>
        <v>4.4333371747148291E-2</v>
      </c>
      <c r="BW15" s="257" t="e">
        <f ca="1">(BP15/BP16)*Ratio</f>
        <v>#N/A</v>
      </c>
      <c r="BX15" s="257" t="e">
        <f ca="1">(BV15/(BW15^2))</f>
        <v>#N/A</v>
      </c>
      <c r="BZ15" s="250" t="s">
        <v>584</v>
      </c>
      <c r="CA15" s="251">
        <v>4</v>
      </c>
      <c r="CB15" s="251">
        <v>1.7497</v>
      </c>
      <c r="CC15" s="251">
        <v>1.25</v>
      </c>
      <c r="CD15" s="251">
        <v>0.28299999999999997</v>
      </c>
      <c r="CE15" s="257">
        <v>2</v>
      </c>
      <c r="CF15" s="585">
        <f>((PI()*CC15*CD15/4)*(CA15^2-CB15^2))*CE15</f>
        <v>7.1895536854607043</v>
      </c>
      <c r="CG15" s="257">
        <f>(((CF15/386.4)*(CA15^2+CB15^2))/8)</f>
        <v>4.4333371747148291E-2</v>
      </c>
      <c r="CH15" s="257" t="e">
        <f ca="1">(CA15/CA16)*Ratio</f>
        <v>#N/A</v>
      </c>
      <c r="CI15" s="257" t="e">
        <f ca="1">(CG15/(CH15^2))</f>
        <v>#N/A</v>
      </c>
      <c r="CK15" s="250" t="s">
        <v>586</v>
      </c>
      <c r="CL15" s="251">
        <v>5.33</v>
      </c>
      <c r="CM15" s="251">
        <v>2</v>
      </c>
      <c r="CN15" s="251">
        <v>2</v>
      </c>
      <c r="CO15" s="251">
        <v>0.28299999999999997</v>
      </c>
      <c r="CP15" s="257">
        <v>2</v>
      </c>
      <c r="CQ15" s="585">
        <f>((PI()*CN15*CO15/4)*(CL15^2-CM15^2))*CP15</f>
        <v>21.701238320984832</v>
      </c>
      <c r="CR15" s="257">
        <f>(((CQ15/386.4)*(CL15^2+CM15^2))/8)</f>
        <v>0.22752111239032266</v>
      </c>
      <c r="CS15" s="257" t="e">
        <f ca="1">(CL15/CL18)*Ratio</f>
        <v>#N/A</v>
      </c>
      <c r="CT15" s="257" t="e">
        <f ca="1">(CR15/(CS15^2))</f>
        <v>#N/A</v>
      </c>
      <c r="CV15" s="250"/>
      <c r="CW15" s="255"/>
      <c r="CX15" s="339"/>
      <c r="CY15" s="339"/>
      <c r="CZ15" s="251"/>
      <c r="DA15" s="245"/>
      <c r="DB15" s="435"/>
      <c r="DC15" s="254"/>
      <c r="DD15" s="255"/>
      <c r="DE15" s="256"/>
      <c r="DG15" s="250"/>
      <c r="DH15" s="339">
        <v>3.5</v>
      </c>
      <c r="DI15" s="339">
        <v>0</v>
      </c>
      <c r="DJ15" s="339">
        <v>6.37</v>
      </c>
      <c r="DK15" s="254">
        <v>0.28299999999999997</v>
      </c>
      <c r="DL15" s="257">
        <v>1</v>
      </c>
      <c r="DM15" s="585">
        <f>((PI()*DJ15*DK15/4)*(DH15^2-DI15^2))*DL15</f>
        <v>17.344102758443121</v>
      </c>
      <c r="DN15" s="257">
        <f>(((DM15/386.4)*(DH15^2+DI15^2))/8)</f>
        <v>6.8732291275533208E-2</v>
      </c>
      <c r="DO15" s="257" t="e">
        <f ca="1">Ratio</f>
        <v>#N/A</v>
      </c>
      <c r="DP15" s="257" t="e">
        <f ca="1">(DN15/(DO15^2))</f>
        <v>#N/A</v>
      </c>
      <c r="DR15" s="250"/>
      <c r="DS15" s="341">
        <v>3.5</v>
      </c>
      <c r="DT15" s="341">
        <v>0</v>
      </c>
      <c r="DU15" s="258">
        <v>6.37</v>
      </c>
      <c r="DV15" s="251">
        <v>0.28299999999999997</v>
      </c>
      <c r="DW15" s="257">
        <v>1</v>
      </c>
      <c r="DX15" s="585">
        <f>((PI()*DU15*DV15/4)*(DS15^2-DT15^2))*DW15</f>
        <v>17.344102758443121</v>
      </c>
      <c r="DY15" s="257">
        <f>(((DX15/386.4)*(DS15^2+DT15^2))/8)</f>
        <v>6.8732291275533208E-2</v>
      </c>
      <c r="DZ15" s="258" t="e">
        <f ca="1">Ratio</f>
        <v>#N/A</v>
      </c>
      <c r="EA15" s="257" t="e">
        <f ca="1">(DY15/(DZ15^2))</f>
        <v>#N/A</v>
      </c>
      <c r="EC15" s="250"/>
      <c r="ED15" s="341">
        <v>4.33</v>
      </c>
      <c r="EE15" s="341">
        <v>0</v>
      </c>
      <c r="EF15" s="258">
        <v>2.13</v>
      </c>
      <c r="EG15" s="251">
        <v>0.28299999999999997</v>
      </c>
      <c r="EH15" s="257">
        <v>1</v>
      </c>
      <c r="EI15" s="585">
        <f t="shared" si="0"/>
        <v>8.8762947064692135</v>
      </c>
      <c r="EJ15" s="257">
        <f t="shared" si="1"/>
        <v>5.3836944171234684E-2</v>
      </c>
      <c r="EK15" s="258" t="e">
        <f t="shared" ca="1" si="2"/>
        <v>#N/A</v>
      </c>
      <c r="EL15" s="257" t="e">
        <f t="shared" ca="1" si="3"/>
        <v>#N/A</v>
      </c>
    </row>
    <row r="16" spans="1:142" ht="15.75" x14ac:dyDescent="0.25">
      <c r="A16" s="250" t="s">
        <v>587</v>
      </c>
      <c r="B16" s="251">
        <v>5.6390000000000002</v>
      </c>
      <c r="C16" s="251">
        <v>4.88</v>
      </c>
      <c r="D16" s="251">
        <v>1.28</v>
      </c>
      <c r="E16" s="251">
        <v>0.28299999999999997</v>
      </c>
      <c r="F16" s="257">
        <v>1</v>
      </c>
      <c r="G16" s="585">
        <f>((PI()*D16*E16/4)*(B16^2-C16^2))*F16</f>
        <v>2.2714465278735623</v>
      </c>
      <c r="H16" s="257">
        <f>(((G16/386.4)*(B16^2+C16^2))/8)</f>
        <v>4.0864816906395943E-2</v>
      </c>
      <c r="I16" s="257" t="e">
        <f ca="1">Ratio</f>
        <v>#N/A</v>
      </c>
      <c r="J16" s="257" t="e">
        <f ca="1">(H16/(I16^2))</f>
        <v>#N/A</v>
      </c>
      <c r="L16" s="250" t="s">
        <v>587</v>
      </c>
      <c r="M16" s="251">
        <v>5.6390000000000002</v>
      </c>
      <c r="N16" s="251">
        <v>4.88</v>
      </c>
      <c r="O16" s="251">
        <v>1.28</v>
      </c>
      <c r="P16" s="251">
        <v>0.28299999999999997</v>
      </c>
      <c r="Q16" s="257">
        <v>1</v>
      </c>
      <c r="R16" s="585">
        <f>((PI()*P16*O16/4)*(M16^2-N16^2))*Q16</f>
        <v>2.2714465278735623</v>
      </c>
      <c r="S16" s="257">
        <f>(((R16/386.4)*(M16^2+N16^2))/8)</f>
        <v>4.0864816906395943E-2</v>
      </c>
      <c r="T16" s="257" t="e">
        <f ca="1">Ratio</f>
        <v>#N/A</v>
      </c>
      <c r="U16" s="257" t="e">
        <f ca="1">(S16/(T16^2))</f>
        <v>#N/A</v>
      </c>
      <c r="W16" s="250" t="s">
        <v>585</v>
      </c>
      <c r="X16" s="251">
        <v>2.5</v>
      </c>
      <c r="Y16" s="251">
        <v>1.339</v>
      </c>
      <c r="Z16" s="251">
        <v>1</v>
      </c>
      <c r="AA16" s="251">
        <v>0.28299999999999997</v>
      </c>
      <c r="AB16" s="257">
        <v>2</v>
      </c>
      <c r="AC16" s="585">
        <f>((PI()*Z16*AA16/4)*(X16^2-Y16^2))*AB16</f>
        <v>1.9813292199660117</v>
      </c>
      <c r="AD16" s="257">
        <f>(((AC16/386.4)*(X16^2+Y16^2))/8)</f>
        <v>5.1551741689888249E-3</v>
      </c>
      <c r="AE16" s="257" t="e">
        <f ca="1">Ratio</f>
        <v>#N/A</v>
      </c>
      <c r="AF16" s="257" t="e">
        <f ca="1">(AD16/(AE16^2))</f>
        <v>#N/A</v>
      </c>
      <c r="AH16" s="250" t="s">
        <v>585</v>
      </c>
      <c r="AI16" s="251">
        <v>2.5</v>
      </c>
      <c r="AJ16" s="251">
        <v>1.339</v>
      </c>
      <c r="AK16" s="251">
        <v>1</v>
      </c>
      <c r="AL16" s="251">
        <v>0.28299999999999997</v>
      </c>
      <c r="AM16" s="257">
        <v>2</v>
      </c>
      <c r="AN16" s="585">
        <f>((PI()*AK16*AL16/4)*(AI16^2-AJ16^2))*AM16</f>
        <v>1.9813292199660117</v>
      </c>
      <c r="AO16" s="257">
        <f>(((AN16/386.4)*(AI16^2+AJ16^2))/8)</f>
        <v>5.1551741689888249E-3</v>
      </c>
      <c r="AP16" s="257" t="e">
        <f ca="1">Ratio</f>
        <v>#N/A</v>
      </c>
      <c r="AQ16" s="257" t="e">
        <f ca="1">(AO16/(AP16^2))</f>
        <v>#N/A</v>
      </c>
      <c r="AS16" s="250" t="s">
        <v>585</v>
      </c>
      <c r="AT16" s="251">
        <v>2.5</v>
      </c>
      <c r="AU16" s="251">
        <v>1.339</v>
      </c>
      <c r="AV16" s="251">
        <v>1</v>
      </c>
      <c r="AW16" s="251">
        <v>0.28299999999999997</v>
      </c>
      <c r="AX16" s="257">
        <v>2</v>
      </c>
      <c r="AY16" s="585">
        <f>((PI()*AV16*AW16/4)*(AT16^2-AU16^2))*AX16</f>
        <v>1.9813292199660117</v>
      </c>
      <c r="AZ16" s="257">
        <f>(((AY16/386.4)*(AT16^2+AU16^2))/8)</f>
        <v>5.1551741689888249E-3</v>
      </c>
      <c r="BA16" s="257" t="e">
        <f ca="1">Ratio</f>
        <v>#N/A</v>
      </c>
      <c r="BB16" s="257" t="e">
        <f ca="1">(AZ16/(BA16^2))</f>
        <v>#N/A</v>
      </c>
      <c r="BD16" s="250" t="s">
        <v>585</v>
      </c>
      <c r="BE16" s="251">
        <v>3.5</v>
      </c>
      <c r="BF16" s="251">
        <v>1.85</v>
      </c>
      <c r="BG16" s="251">
        <v>1.25</v>
      </c>
      <c r="BH16" s="251">
        <v>0.28299999999999997</v>
      </c>
      <c r="BI16" s="257">
        <v>2</v>
      </c>
      <c r="BJ16" s="585">
        <f>((PI()*BG16*BH16/4)*(BE16^2-BF16^2))*BI16</f>
        <v>4.9051698683291143</v>
      </c>
      <c r="BK16" s="257">
        <f>(((BJ16/386.4)*(BE16^2+BF16^2))/8)</f>
        <v>2.4869395303244061E-2</v>
      </c>
      <c r="BL16" s="257" t="e">
        <f ca="1">Ratio</f>
        <v>#N/A</v>
      </c>
      <c r="BM16" s="257" t="e">
        <f ca="1">(BK16/(BL16^2))</f>
        <v>#N/A</v>
      </c>
      <c r="BO16" s="250" t="s">
        <v>585</v>
      </c>
      <c r="BP16" s="251">
        <v>3.5</v>
      </c>
      <c r="BQ16" s="251">
        <v>1.85</v>
      </c>
      <c r="BR16" s="251">
        <v>1.25</v>
      </c>
      <c r="BS16" s="251">
        <v>0.28299999999999997</v>
      </c>
      <c r="BT16" s="257">
        <v>2</v>
      </c>
      <c r="BU16" s="585">
        <f>((PI()*BR16*BS16/4)*(BP16^2-BQ16^2))*BT16</f>
        <v>4.9051698683291143</v>
      </c>
      <c r="BV16" s="257">
        <f>(((BU16/386.4)*(BP16^2+BQ16^2))/8)</f>
        <v>2.4869395303244061E-2</v>
      </c>
      <c r="BW16" s="257" t="e">
        <f ca="1">Ratio</f>
        <v>#N/A</v>
      </c>
      <c r="BX16" s="257" t="e">
        <f ca="1">(BV16/(BW16^2))</f>
        <v>#N/A</v>
      </c>
      <c r="BZ16" s="250" t="s">
        <v>585</v>
      </c>
      <c r="CA16" s="251">
        <v>3.5</v>
      </c>
      <c r="CB16" s="251">
        <v>1.85</v>
      </c>
      <c r="CC16" s="251">
        <v>1.25</v>
      </c>
      <c r="CD16" s="251">
        <v>0.28299999999999997</v>
      </c>
      <c r="CE16" s="257">
        <v>2</v>
      </c>
      <c r="CF16" s="585">
        <f>((PI()*CC16*CD16/4)*(CA16^2-CB16^2))*CE16</f>
        <v>4.9051698683291143</v>
      </c>
      <c r="CG16" s="257">
        <f>(((CF16/386.4)*(CA16^2+CB16^2))/8)</f>
        <v>2.4869395303244061E-2</v>
      </c>
      <c r="CH16" s="257" t="e">
        <f ca="1">Ratio</f>
        <v>#N/A</v>
      </c>
      <c r="CI16" s="257" t="e">
        <f ca="1">(CG16/(CH16^2))</f>
        <v>#N/A</v>
      </c>
      <c r="CK16" s="250" t="s">
        <v>588</v>
      </c>
      <c r="CL16" s="251">
        <v>3.125</v>
      </c>
      <c r="CM16" s="251">
        <v>2</v>
      </c>
      <c r="CN16" s="251">
        <v>1.5</v>
      </c>
      <c r="CO16" s="251">
        <v>0.28299999999999997</v>
      </c>
      <c r="CP16" s="257">
        <v>2</v>
      </c>
      <c r="CQ16" s="585">
        <f>((PI()*CN16*CO16/4)*(CL16^2-CM16^2))*CP16</f>
        <v>3.8445362816768123</v>
      </c>
      <c r="CR16" s="257">
        <f>(((CQ16/386.4)*(CL16^2+CM16^2))/8)</f>
        <v>1.7120356092280464E-2</v>
      </c>
      <c r="CS16" s="257" t="e">
        <f ca="1">(CL15/CL18)*Ratio</f>
        <v>#N/A</v>
      </c>
      <c r="CT16" s="257" t="e">
        <f ca="1">(CR16/(CS16^2))</f>
        <v>#N/A</v>
      </c>
      <c r="CV16" s="250" t="s">
        <v>589</v>
      </c>
      <c r="CW16" s="255">
        <v>5.83</v>
      </c>
      <c r="CX16" s="339">
        <v>2</v>
      </c>
      <c r="CY16" s="339">
        <v>2</v>
      </c>
      <c r="CZ16" s="251">
        <v>0.28299999999999997</v>
      </c>
      <c r="DA16" s="257">
        <v>2</v>
      </c>
      <c r="DB16" s="585">
        <f>((PI()*CY16*CZ16/4)*(CW16^2-CX16^2))*DA16</f>
        <v>26.662252943974618</v>
      </c>
      <c r="DC16" s="257">
        <f>(((DB16/386.4)*(CW16^2+CX16^2))/8)</f>
        <v>0.32766228676997849</v>
      </c>
      <c r="DD16" s="257" t="e">
        <f ca="1">Ratio</f>
        <v>#N/A</v>
      </c>
      <c r="DE16" s="257" t="e">
        <f ca="1">(DC16/(DD16^2))</f>
        <v>#N/A</v>
      </c>
      <c r="DG16" s="250"/>
      <c r="DH16" s="339"/>
      <c r="DI16" s="339"/>
      <c r="DJ16" s="339"/>
      <c r="DK16" s="254"/>
      <c r="DL16" s="245"/>
      <c r="DM16" s="435"/>
      <c r="DN16" s="254"/>
      <c r="DO16" s="255"/>
      <c r="DP16" s="256"/>
      <c r="DR16" s="250"/>
      <c r="DS16" s="341"/>
      <c r="DT16" s="341"/>
      <c r="DU16" s="342"/>
      <c r="DV16" s="251"/>
      <c r="DW16" s="257"/>
      <c r="DX16" s="435"/>
      <c r="DY16" s="254"/>
      <c r="DZ16" s="341"/>
      <c r="EA16" s="256"/>
      <c r="EC16" s="250"/>
      <c r="ED16" s="341">
        <v>5.75</v>
      </c>
      <c r="EE16" s="341">
        <v>0</v>
      </c>
      <c r="EF16" s="342">
        <v>2</v>
      </c>
      <c r="EG16" s="251">
        <v>0.28299999999999997</v>
      </c>
      <c r="EH16" s="257">
        <v>1</v>
      </c>
      <c r="EI16" s="585">
        <f t="shared" si="0"/>
        <v>14.697450355967721</v>
      </c>
      <c r="EJ16" s="257">
        <f t="shared" si="1"/>
        <v>0.15719929231178276</v>
      </c>
      <c r="EK16" s="258" t="e">
        <f t="shared" ca="1" si="2"/>
        <v>#N/A</v>
      </c>
      <c r="EL16" s="257" t="e">
        <f t="shared" ca="1" si="3"/>
        <v>#N/A</v>
      </c>
    </row>
    <row r="17" spans="1:142" ht="15.75" x14ac:dyDescent="0.25">
      <c r="A17" s="250" t="s">
        <v>590</v>
      </c>
      <c r="B17" s="251">
        <v>4.88</v>
      </c>
      <c r="C17" s="251">
        <v>2.1875</v>
      </c>
      <c r="D17" s="251">
        <v>0.75</v>
      </c>
      <c r="E17" s="251">
        <v>0.28299999999999997</v>
      </c>
      <c r="F17" s="257">
        <v>1</v>
      </c>
      <c r="G17" s="585">
        <f>((PI()*D17*E17/4)*(B17^2-C17^2))*F17</f>
        <v>3.1721893987966054</v>
      </c>
      <c r="H17" s="257">
        <f>(((G17/386.4)*(B17^2+C17^2))/8)</f>
        <v>2.934886424253921E-2</v>
      </c>
      <c r="I17" s="257" t="e">
        <f ca="1">Ratio</f>
        <v>#N/A</v>
      </c>
      <c r="J17" s="257" t="e">
        <f ca="1">(H17/(I17^2))</f>
        <v>#N/A</v>
      </c>
      <c r="L17" s="250" t="s">
        <v>590</v>
      </c>
      <c r="M17" s="251">
        <v>4.88</v>
      </c>
      <c r="N17" s="251">
        <v>2.1875</v>
      </c>
      <c r="O17" s="251">
        <v>0.75</v>
      </c>
      <c r="P17" s="251">
        <v>0.28299999999999997</v>
      </c>
      <c r="Q17" s="257">
        <v>1</v>
      </c>
      <c r="R17" s="585">
        <f>((PI()*P17*O17/4)*(M17^2-N17^2))*Q17</f>
        <v>3.1721893987966054</v>
      </c>
      <c r="S17" s="257">
        <f>(((R17/386.4)*(M17^2+N17^2))/8)</f>
        <v>2.934886424253921E-2</v>
      </c>
      <c r="T17" s="257" t="e">
        <f ca="1">Ratio</f>
        <v>#N/A</v>
      </c>
      <c r="U17" s="257" t="e">
        <f ca="1">(S17/(T17^2))</f>
        <v>#N/A</v>
      </c>
      <c r="W17" s="250"/>
      <c r="X17" s="251"/>
      <c r="Y17" s="251"/>
      <c r="Z17" s="251"/>
      <c r="AA17" s="251"/>
      <c r="AB17" s="245"/>
      <c r="AC17" s="429"/>
      <c r="AD17" s="254"/>
      <c r="AE17" s="255"/>
      <c r="AF17" s="256"/>
      <c r="AH17" s="250"/>
      <c r="AI17" s="251"/>
      <c r="AJ17" s="251"/>
      <c r="AK17" s="251"/>
      <c r="AL17" s="251"/>
      <c r="AM17" s="245"/>
      <c r="AN17" s="429"/>
      <c r="AO17" s="254"/>
      <c r="AP17" s="245"/>
      <c r="AQ17" s="245"/>
      <c r="AS17" s="250"/>
      <c r="AT17" s="251"/>
      <c r="AU17" s="251"/>
      <c r="AV17" s="251"/>
      <c r="AW17" s="251"/>
      <c r="AX17" s="245"/>
      <c r="AY17" s="429"/>
      <c r="AZ17" s="254"/>
      <c r="BA17" s="251"/>
      <c r="BB17" s="256"/>
      <c r="BD17" s="250"/>
      <c r="BE17" s="251"/>
      <c r="BF17" s="251"/>
      <c r="BG17" s="251"/>
      <c r="BH17" s="251"/>
      <c r="BI17" s="245"/>
      <c r="BJ17" s="429"/>
      <c r="BK17" s="254"/>
      <c r="BL17" s="251"/>
      <c r="BM17" s="245"/>
      <c r="BO17" s="250"/>
      <c r="BP17" s="251"/>
      <c r="BQ17" s="251"/>
      <c r="BR17" s="251"/>
      <c r="BS17" s="251"/>
      <c r="BT17" s="245"/>
      <c r="BU17" s="429"/>
      <c r="BV17" s="254"/>
      <c r="BW17" s="245"/>
      <c r="BX17" s="245"/>
      <c r="BZ17" s="250"/>
      <c r="CA17" s="251"/>
      <c r="CB17" s="251"/>
      <c r="CC17" s="251"/>
      <c r="CD17" s="251"/>
      <c r="CE17" s="245"/>
      <c r="CF17" s="429"/>
      <c r="CG17" s="254"/>
      <c r="CH17" s="245"/>
      <c r="CI17" s="245"/>
      <c r="CK17" s="250"/>
      <c r="CL17" s="251"/>
      <c r="CM17" s="251"/>
      <c r="CN17" s="251"/>
      <c r="CO17" s="251"/>
      <c r="CP17" s="245"/>
      <c r="CQ17" s="429"/>
      <c r="CR17" s="254"/>
      <c r="CS17" s="255"/>
      <c r="CT17" s="256"/>
      <c r="CV17" s="250" t="s">
        <v>593</v>
      </c>
      <c r="CW17" s="255">
        <v>3.25</v>
      </c>
      <c r="CX17" s="339">
        <v>2</v>
      </c>
      <c r="CY17" s="339">
        <v>2</v>
      </c>
      <c r="CZ17" s="251">
        <v>0.28299999999999997</v>
      </c>
      <c r="DA17" s="257">
        <v>2</v>
      </c>
      <c r="DB17" s="585">
        <f>((PI()*CY17*CZ17/4)*(CW17^2-CX17^2))*DA17</f>
        <v>5.8345266063387928</v>
      </c>
      <c r="DC17" s="257">
        <f>(((DB17/386.4)*(CW17^2+CX17^2))/8)</f>
        <v>2.748618455771502E-2</v>
      </c>
      <c r="DD17" s="257" t="e">
        <f ca="1">Ratio</f>
        <v>#N/A</v>
      </c>
      <c r="DE17" s="257" t="e">
        <f ca="1">(DC17/(DD17^2))</f>
        <v>#N/A</v>
      </c>
      <c r="DG17" s="250" t="s">
        <v>603</v>
      </c>
      <c r="DH17" s="339">
        <v>5.83</v>
      </c>
      <c r="DI17" s="339">
        <v>2</v>
      </c>
      <c r="DJ17" s="339">
        <v>2</v>
      </c>
      <c r="DK17" s="254">
        <v>0.28299999999999997</v>
      </c>
      <c r="DL17" s="257">
        <v>2</v>
      </c>
      <c r="DM17" s="585">
        <f>((PI()*DJ17*DK17/4)*(DH17^2-DI17^2))*DL17</f>
        <v>26.662252943974618</v>
      </c>
      <c r="DN17" s="257">
        <f>(((DM17/386.4)*(DH17^2+DI17^2))/8)</f>
        <v>0.32766228676997849</v>
      </c>
      <c r="DO17" s="257" t="e">
        <f ca="1">Ratio</f>
        <v>#N/A</v>
      </c>
      <c r="DP17" s="257" t="e">
        <f ca="1">(DN17/(DO17^2))</f>
        <v>#N/A</v>
      </c>
      <c r="DR17" s="250"/>
      <c r="DS17" s="341"/>
      <c r="DT17" s="341"/>
      <c r="DU17" s="258"/>
      <c r="DV17" s="343"/>
      <c r="DW17" s="245"/>
      <c r="DX17" s="435"/>
      <c r="DY17" s="254"/>
      <c r="DZ17" s="341"/>
      <c r="EA17" s="256"/>
      <c r="EC17" s="250"/>
      <c r="ED17" s="341"/>
      <c r="EE17" s="341"/>
      <c r="EF17" s="258"/>
      <c r="EG17" s="343"/>
      <c r="EH17" s="245"/>
      <c r="EI17" s="435"/>
      <c r="EJ17" s="254"/>
      <c r="EK17" s="341"/>
      <c r="EL17" s="256"/>
    </row>
    <row r="18" spans="1:142" ht="15.75" x14ac:dyDescent="0.25">
      <c r="A18" s="250"/>
      <c r="B18" s="251"/>
      <c r="C18" s="251"/>
      <c r="D18" s="251"/>
      <c r="E18" s="251"/>
      <c r="F18" s="245"/>
      <c r="G18" s="429"/>
      <c r="H18" s="254"/>
      <c r="I18" s="255"/>
      <c r="J18" s="256"/>
      <c r="L18" s="250"/>
      <c r="M18" s="251"/>
      <c r="N18" s="251"/>
      <c r="O18" s="251"/>
      <c r="P18" s="251"/>
      <c r="Q18" s="245"/>
      <c r="R18" s="429"/>
      <c r="S18" s="254"/>
      <c r="T18" s="255"/>
      <c r="U18" s="256"/>
      <c r="W18" s="250" t="s">
        <v>1032</v>
      </c>
      <c r="X18" s="251">
        <v>8.9629999999999992</v>
      </c>
      <c r="Y18" s="251">
        <v>7.9</v>
      </c>
      <c r="Z18" s="251">
        <v>1.22</v>
      </c>
      <c r="AA18" s="251">
        <v>0.28299999999999997</v>
      </c>
      <c r="AB18" s="257">
        <v>1</v>
      </c>
      <c r="AC18" s="585">
        <f>((PI()*Z18*AA18/4)*(X18^2-Y18^2))*AB18</f>
        <v>4.8607608258250448</v>
      </c>
      <c r="AD18" s="257">
        <f>(((AC18/386.4)*(X18^2+Y18^2))/8)</f>
        <v>0.22446011183460815</v>
      </c>
      <c r="AE18" s="257" t="e">
        <f ca="1">Ratio</f>
        <v>#N/A</v>
      </c>
      <c r="AF18" s="257" t="e">
        <f ca="1">(AD18/(AE18^2))</f>
        <v>#N/A</v>
      </c>
      <c r="AH18" s="250" t="s">
        <v>1032</v>
      </c>
      <c r="AI18" s="251">
        <v>8.9629999999999992</v>
      </c>
      <c r="AJ18" s="251">
        <v>7.9</v>
      </c>
      <c r="AK18" s="251">
        <v>1.22</v>
      </c>
      <c r="AL18" s="251">
        <v>0.28299999999999997</v>
      </c>
      <c r="AM18" s="257">
        <v>1</v>
      </c>
      <c r="AN18" s="585">
        <f>((PI()*AK18*AL18/4)*(AI18^2-AJ18^2))*AM18</f>
        <v>4.8607608258250448</v>
      </c>
      <c r="AO18" s="257">
        <f>(((AN18/386.4)*(AI18^2+AJ18^2))/8)</f>
        <v>0.22446011183460815</v>
      </c>
      <c r="AP18" s="257" t="e">
        <f ca="1">Ratio</f>
        <v>#N/A</v>
      </c>
      <c r="AQ18" s="257" t="e">
        <f ca="1">(AO18/(AP18^2))</f>
        <v>#N/A</v>
      </c>
      <c r="AS18" s="250" t="s">
        <v>587</v>
      </c>
      <c r="AT18" s="251">
        <v>11.154</v>
      </c>
      <c r="AU18" s="251">
        <v>7.9</v>
      </c>
      <c r="AV18" s="251">
        <v>1.22</v>
      </c>
      <c r="AW18" s="251">
        <v>0.28299999999999997</v>
      </c>
      <c r="AX18" s="257">
        <v>1</v>
      </c>
      <c r="AY18" s="585">
        <f>((PI()*AV18*AW18/4)*(AT18^2-AU18^2))*AX18</f>
        <v>16.812792655299322</v>
      </c>
      <c r="AZ18" s="257">
        <f>(((AY18/386.4)*(AT18^2+AU18^2))/8)</f>
        <v>1.0161085580406366</v>
      </c>
      <c r="BA18" s="257" t="e">
        <f ca="1">Ratio</f>
        <v>#N/A</v>
      </c>
      <c r="BB18" s="257" t="e">
        <f ca="1">(AZ18/(BA18^2))</f>
        <v>#N/A</v>
      </c>
      <c r="BD18" s="250" t="s">
        <v>587</v>
      </c>
      <c r="BE18" s="251">
        <v>11.02</v>
      </c>
      <c r="BF18" s="251">
        <v>9.9570000000000007</v>
      </c>
      <c r="BG18" s="251">
        <v>1.22</v>
      </c>
      <c r="BH18" s="251">
        <v>0.28299999999999997</v>
      </c>
      <c r="BI18" s="257">
        <v>1</v>
      </c>
      <c r="BJ18" s="585">
        <f>((PI()*BG18*BH18/4)*(BE18^2-BF18^2))*BI18</f>
        <v>6.0466215882898657</v>
      </c>
      <c r="BK18" s="257">
        <f>(((BJ18/386.4)*(BE18^2+BF18^2))/8)</f>
        <v>0.43147560455387246</v>
      </c>
      <c r="BL18" s="257" t="e">
        <f ca="1">Ratio</f>
        <v>#N/A</v>
      </c>
      <c r="BM18" s="257" t="e">
        <f ca="1">(BK18/(BL18^2))</f>
        <v>#N/A</v>
      </c>
      <c r="BO18" s="250" t="s">
        <v>1032</v>
      </c>
      <c r="BP18" s="251">
        <v>8.9629999999999992</v>
      </c>
      <c r="BQ18" s="251">
        <v>7.9</v>
      </c>
      <c r="BR18" s="251">
        <v>1.22</v>
      </c>
      <c r="BS18" s="251">
        <v>0.28299999999999997</v>
      </c>
      <c r="BT18" s="257">
        <v>1</v>
      </c>
      <c r="BU18" s="585">
        <f>((PI()*BR18*BS18/4)*(BP18^2-BQ18^2))*BT18</f>
        <v>4.8607608258250448</v>
      </c>
      <c r="BV18" s="257">
        <f>(((BU18/386.4)*(BP18^2+BQ18^2))/8)</f>
        <v>0.22446011183460815</v>
      </c>
      <c r="BW18" s="257" t="e">
        <f ca="1">Ratio</f>
        <v>#N/A</v>
      </c>
      <c r="BX18" s="257" t="e">
        <f ca="1">(BV18/(BW18^2))</f>
        <v>#N/A</v>
      </c>
      <c r="BZ18" s="250" t="s">
        <v>587</v>
      </c>
      <c r="CA18" s="251">
        <v>5.5940000000000003</v>
      </c>
      <c r="CB18" s="251">
        <v>4.88</v>
      </c>
      <c r="CC18" s="251">
        <v>1.28</v>
      </c>
      <c r="CD18" s="251">
        <v>0.28299999999999997</v>
      </c>
      <c r="CE18" s="257">
        <v>1</v>
      </c>
      <c r="CF18" s="585">
        <f>((PI()*CC18*CD18/4)*(CA18^2-CB18^2))*CE18</f>
        <v>2.1276347155895783</v>
      </c>
      <c r="CG18" s="257">
        <f>(((CF18/386.4)*(CA18^2+CB18^2))/8)</f>
        <v>3.7929628750578342E-2</v>
      </c>
      <c r="CH18" s="257" t="e">
        <f ca="1">Ratio</f>
        <v>#N/A</v>
      </c>
      <c r="CI18" s="257" t="e">
        <f ca="1">(CG18/(CH18^2))</f>
        <v>#N/A</v>
      </c>
      <c r="CK18" s="250" t="s">
        <v>595</v>
      </c>
      <c r="CL18" s="251">
        <v>4.83</v>
      </c>
      <c r="CM18" s="251">
        <v>2</v>
      </c>
      <c r="CN18" s="251">
        <v>2</v>
      </c>
      <c r="CO18" s="251">
        <v>0.28299999999999997</v>
      </c>
      <c r="CP18" s="257">
        <v>2</v>
      </c>
      <c r="CQ18" s="585">
        <f>((PI()*CN18*CO18/4)*(CL18^2-CM18^2))*CP18</f>
        <v>17.184759058478004</v>
      </c>
      <c r="CR18" s="257">
        <f>(((CQ18/386.4)*(CL18^2+CM18^2))/8)</f>
        <v>0.15192823558269913</v>
      </c>
      <c r="CS18" s="257" t="e">
        <f ca="1">Ratio</f>
        <v>#N/A</v>
      </c>
      <c r="CT18" s="257" t="e">
        <f ca="1">(CR18/(CS18^2))</f>
        <v>#N/A</v>
      </c>
      <c r="CV18" s="250"/>
      <c r="CW18" s="255"/>
      <c r="CX18" s="339"/>
      <c r="CY18" s="339"/>
      <c r="CZ18" s="251"/>
      <c r="DA18" s="245"/>
      <c r="DB18" s="435"/>
      <c r="DC18" s="254"/>
      <c r="DD18" s="255"/>
      <c r="DE18" s="256"/>
      <c r="DG18" s="250" t="s">
        <v>593</v>
      </c>
      <c r="DH18" s="339">
        <v>3.25</v>
      </c>
      <c r="DI18" s="339">
        <v>2</v>
      </c>
      <c r="DJ18" s="339">
        <v>2</v>
      </c>
      <c r="DK18" s="254">
        <v>0.28299999999999997</v>
      </c>
      <c r="DL18" s="257">
        <v>2</v>
      </c>
      <c r="DM18" s="585">
        <f>((PI()*DJ18*DK18/4)*(DH18^2-DI18^2))*DL18</f>
        <v>5.8345266063387928</v>
      </c>
      <c r="DN18" s="257">
        <f>(((DM18/386.4)*(DH18^2+DI18^2))/8)</f>
        <v>2.748618455771502E-2</v>
      </c>
      <c r="DO18" s="257" t="e">
        <f ca="1">Ratio</f>
        <v>#N/A</v>
      </c>
      <c r="DP18" s="257" t="e">
        <f ca="1">(DN18/(DO18^2))</f>
        <v>#N/A</v>
      </c>
      <c r="DR18" s="250" t="s">
        <v>596</v>
      </c>
      <c r="DS18" s="341">
        <v>6.33</v>
      </c>
      <c r="DT18" s="341">
        <v>1.75</v>
      </c>
      <c r="DU18" s="342">
        <v>1.75</v>
      </c>
      <c r="DV18" s="251">
        <v>0.28299999999999997</v>
      </c>
      <c r="DW18" s="257">
        <v>2</v>
      </c>
      <c r="DX18" s="585">
        <f>((PI()*DU18*DV18/4)*(DS18^2-DT18^2))*DW18</f>
        <v>28.788643387308788</v>
      </c>
      <c r="DY18" s="257">
        <f>(((DX18/386.4)*(DS18^2+DT18^2))/8)</f>
        <v>0.40168688321537599</v>
      </c>
      <c r="DZ18" s="258" t="e">
        <f ca="1">Ratio</f>
        <v>#N/A</v>
      </c>
      <c r="EA18" s="257" t="e">
        <f ca="1">(DY18/(DZ18^2))</f>
        <v>#N/A</v>
      </c>
      <c r="EC18" s="250" t="s">
        <v>596</v>
      </c>
      <c r="ED18" s="341">
        <v>6.33</v>
      </c>
      <c r="EE18" s="341">
        <v>1.75</v>
      </c>
      <c r="EF18" s="342">
        <v>2</v>
      </c>
      <c r="EG18" s="251">
        <v>0.28299999999999997</v>
      </c>
      <c r="EH18" s="257">
        <v>2</v>
      </c>
      <c r="EI18" s="585">
        <f>((PI()*EF18*EG18/4)*(ED18^2-EE18^2))*EH18</f>
        <v>32.9013067283529</v>
      </c>
      <c r="EJ18" s="257">
        <f>(((EI18/386.4)*(ED18^2+EE18^2))/8)</f>
        <v>0.45907072367471541</v>
      </c>
      <c r="EK18" s="258" t="e">
        <f ca="1">Ratio</f>
        <v>#N/A</v>
      </c>
      <c r="EL18" s="257" t="e">
        <f ca="1">(EJ18/(EK18^2))</f>
        <v>#N/A</v>
      </c>
    </row>
    <row r="19" spans="1:142" ht="15.75" x14ac:dyDescent="0.25">
      <c r="A19" s="250" t="s">
        <v>597</v>
      </c>
      <c r="B19" s="251">
        <v>3.1875</v>
      </c>
      <c r="C19" s="251">
        <v>1</v>
      </c>
      <c r="D19" s="251">
        <v>0.4375</v>
      </c>
      <c r="E19" s="251">
        <v>0.28299999999999997</v>
      </c>
      <c r="F19" s="257">
        <v>1</v>
      </c>
      <c r="G19" s="585">
        <f>((PI()*D19*E19/4)*(B19^2-C19^2))*F19</f>
        <v>0.89075292264742645</v>
      </c>
      <c r="H19" s="257">
        <f>(((G19/386.4)*(B19^2+C19^2))/8)</f>
        <v>3.2158843804637178E-3</v>
      </c>
      <c r="I19" s="257" t="e">
        <f ca="1">Ratio</f>
        <v>#N/A</v>
      </c>
      <c r="J19" s="257" t="e">
        <f ca="1">(H19/(I19^2))</f>
        <v>#N/A</v>
      </c>
      <c r="L19" s="250" t="s">
        <v>597</v>
      </c>
      <c r="M19" s="251">
        <v>3.1875</v>
      </c>
      <c r="N19" s="251">
        <v>1</v>
      </c>
      <c r="O19" s="251">
        <v>0.4375</v>
      </c>
      <c r="P19" s="251">
        <v>0.28299999999999997</v>
      </c>
      <c r="Q19" s="257">
        <v>1</v>
      </c>
      <c r="R19" s="585">
        <f>((PI()*P19*O19/4)*(M19^2-N19^2))*Q19</f>
        <v>0.89075292264742645</v>
      </c>
      <c r="S19" s="257">
        <f>(((R19/386.4)*(M19^2+N19^2))/8)</f>
        <v>3.2158843804637178E-3</v>
      </c>
      <c r="T19" s="257" t="e">
        <f ca="1">Ratio</f>
        <v>#N/A</v>
      </c>
      <c r="U19" s="257" t="e">
        <f ca="1">(S19/(T19^2))</f>
        <v>#N/A</v>
      </c>
      <c r="W19" s="250" t="s">
        <v>598</v>
      </c>
      <c r="X19" s="251">
        <v>7.9</v>
      </c>
      <c r="Y19" s="251">
        <v>2.1875</v>
      </c>
      <c r="Z19" s="251">
        <v>0.87</v>
      </c>
      <c r="AA19" s="251">
        <v>0.28299999999999997</v>
      </c>
      <c r="AB19" s="257">
        <v>1</v>
      </c>
      <c r="AC19" s="585">
        <f>((PI()*Z19*AA19/4)*(X19^2-Y19^2))*AB19</f>
        <v>11.143082099793407</v>
      </c>
      <c r="AD19" s="257">
        <f>(((AC19/386.4)*(X19^2+Y19^2))/8)</f>
        <v>0.24222345458145575</v>
      </c>
      <c r="AE19" s="257" t="e">
        <f ca="1">Ratio</f>
        <v>#N/A</v>
      </c>
      <c r="AF19" s="257" t="e">
        <f ca="1">(AD19/(AE19^2))</f>
        <v>#N/A</v>
      </c>
      <c r="AH19" s="250" t="s">
        <v>598</v>
      </c>
      <c r="AI19" s="251">
        <v>7.9</v>
      </c>
      <c r="AJ19" s="251">
        <v>2.1875</v>
      </c>
      <c r="AK19" s="251">
        <v>0.87</v>
      </c>
      <c r="AL19" s="251">
        <v>0.28299999999999997</v>
      </c>
      <c r="AM19" s="257">
        <v>1</v>
      </c>
      <c r="AN19" s="585">
        <f>((PI()*AK19*AL19/4)*(AI19^2-AJ19^2))*AM19</f>
        <v>11.143082099793407</v>
      </c>
      <c r="AO19" s="257">
        <f>(((AN19/386.4)*(AI19^2+AJ19^2))/8)</f>
        <v>0.24222345458145575</v>
      </c>
      <c r="AP19" s="257" t="e">
        <f ca="1">Ratio</f>
        <v>#N/A</v>
      </c>
      <c r="AQ19" s="257" t="e">
        <f ca="1">(AO19/(AP19^2))</f>
        <v>#N/A</v>
      </c>
      <c r="AS19" s="250" t="s">
        <v>599</v>
      </c>
      <c r="AT19" s="251">
        <v>7.9</v>
      </c>
      <c r="AU19" s="251">
        <v>2.1880000000000002</v>
      </c>
      <c r="AV19" s="251">
        <v>0.87</v>
      </c>
      <c r="AW19" s="251">
        <v>0.28299999999999997</v>
      </c>
      <c r="AX19" s="257">
        <v>1</v>
      </c>
      <c r="AY19" s="585">
        <f>((PI()*AV19*AW19/4)*(AT19^2-AU19^2))*AX19</f>
        <v>11.142659048271227</v>
      </c>
      <c r="AZ19" s="257">
        <f>(((AY19/386.4)*(AT19^2+AU19^2))/8)</f>
        <v>0.2422221445203786</v>
      </c>
      <c r="BA19" s="257" t="e">
        <f ca="1">Ratio</f>
        <v>#N/A</v>
      </c>
      <c r="BB19" s="257" t="e">
        <f ca="1">(AZ19/(BA19^2))</f>
        <v>#N/A</v>
      </c>
      <c r="BD19" s="250" t="s">
        <v>599</v>
      </c>
      <c r="BE19" s="251">
        <v>9.9570000000000007</v>
      </c>
      <c r="BF19" s="251">
        <v>2.1880000000000002</v>
      </c>
      <c r="BG19" s="251">
        <v>0.87</v>
      </c>
      <c r="BH19" s="251">
        <v>0.28299999999999997</v>
      </c>
      <c r="BI19" s="257">
        <v>1</v>
      </c>
      <c r="BJ19" s="585">
        <f>((PI()*BG19*BH19/4)*(BE19^2-BF19^2))*BI19</f>
        <v>18.245602543614144</v>
      </c>
      <c r="BK19" s="257">
        <f>(((BJ19/386.4)*(BE19^2+BF19^2))/8)</f>
        <v>0.61343515403615612</v>
      </c>
      <c r="BL19" s="257" t="e">
        <f ca="1">Ratio</f>
        <v>#N/A</v>
      </c>
      <c r="BM19" s="257" t="e">
        <f ca="1">(BK19/(BL19^2))</f>
        <v>#N/A</v>
      </c>
      <c r="BO19" s="250" t="s">
        <v>598</v>
      </c>
      <c r="BP19" s="251">
        <v>7.9</v>
      </c>
      <c r="BQ19" s="251">
        <v>2.1875</v>
      </c>
      <c r="BR19" s="251">
        <v>0.87</v>
      </c>
      <c r="BS19" s="251">
        <v>0.28299999999999997</v>
      </c>
      <c r="BT19" s="257">
        <v>1</v>
      </c>
      <c r="BU19" s="585">
        <f>((PI()*BR19*BS19/4)*(BP19^2-BQ19^2))*BT19</f>
        <v>11.143082099793407</v>
      </c>
      <c r="BV19" s="257">
        <f>(((BU19/386.4)*(BP19^2+BQ19^2))/8)</f>
        <v>0.24222345458145575</v>
      </c>
      <c r="BW19" s="257" t="e">
        <f ca="1">Ratio</f>
        <v>#N/A</v>
      </c>
      <c r="BX19" s="257" t="e">
        <f ca="1">(BV19/(BW19^2))</f>
        <v>#N/A</v>
      </c>
      <c r="BZ19" s="250" t="s">
        <v>1033</v>
      </c>
      <c r="CA19" s="251">
        <v>4.88</v>
      </c>
      <c r="CB19" s="251">
        <v>2.1875</v>
      </c>
      <c r="CC19" s="251">
        <v>0.75</v>
      </c>
      <c r="CD19" s="251">
        <v>0.28299999999999997</v>
      </c>
      <c r="CE19" s="257">
        <v>1</v>
      </c>
      <c r="CF19" s="585">
        <f>((PI()*CC19*CD19/4)*(CA19^2-CB19^2))*CE19</f>
        <v>3.1721893987966054</v>
      </c>
      <c r="CG19" s="257">
        <f>(((CF19/386.4)*(CA19^2+CB19^2))/8)</f>
        <v>2.934886424253921E-2</v>
      </c>
      <c r="CH19" s="257" t="e">
        <f ca="1">Ratio</f>
        <v>#N/A</v>
      </c>
      <c r="CI19" s="257" t="e">
        <f ca="1">(CG19/(CH19^2))</f>
        <v>#N/A</v>
      </c>
      <c r="CK19" s="250" t="s">
        <v>600</v>
      </c>
      <c r="CL19" s="251">
        <v>3</v>
      </c>
      <c r="CM19" s="251">
        <v>2</v>
      </c>
      <c r="CN19" s="251">
        <v>1.5</v>
      </c>
      <c r="CO19" s="251">
        <v>0.28299999999999997</v>
      </c>
      <c r="CP19" s="257">
        <v>2</v>
      </c>
      <c r="CQ19" s="585">
        <f>((PI()*CN19*CO19/4)*(CL19^2-CM19^2))*CP19</f>
        <v>3.3340152036221675</v>
      </c>
      <c r="CR19" s="257">
        <f>(((CQ19/386.4)*(CL19^2+CM19^2))/8)</f>
        <v>1.4021156071133597E-2</v>
      </c>
      <c r="CS19" s="257" t="e">
        <f ca="1">Ratio</f>
        <v>#N/A</v>
      </c>
      <c r="CT19" s="257" t="e">
        <f ca="1">(CR19/(CS19^2))</f>
        <v>#N/A</v>
      </c>
      <c r="CV19" s="250" t="s">
        <v>601</v>
      </c>
      <c r="CW19" s="255">
        <v>5.33</v>
      </c>
      <c r="CX19" s="339">
        <v>1.75</v>
      </c>
      <c r="CY19" s="339">
        <v>2</v>
      </c>
      <c r="CZ19" s="251">
        <v>0.28299999999999997</v>
      </c>
      <c r="DA19" s="257">
        <v>2</v>
      </c>
      <c r="DB19" s="585">
        <f>((PI()*CY19*CZ19/4)*(CW19^2-CX19^2))*DA19</f>
        <v>22.534742121890375</v>
      </c>
      <c r="DC19" s="257">
        <f>(((DB19/386.4)*(CW19^2+CX19^2))/8)</f>
        <v>0.22942542805863766</v>
      </c>
      <c r="DD19" s="257" t="e">
        <f ca="1">(CW19/CW16)*Ratio</f>
        <v>#N/A</v>
      </c>
      <c r="DE19" s="257" t="e">
        <f ca="1">(DC19/(DD19^2))</f>
        <v>#N/A</v>
      </c>
      <c r="DG19" s="250"/>
      <c r="DH19" s="339"/>
      <c r="DI19" s="339"/>
      <c r="DJ19" s="339"/>
      <c r="DK19" s="254"/>
      <c r="DL19" s="245"/>
      <c r="DM19" s="435"/>
      <c r="DN19" s="254"/>
      <c r="DO19" s="255"/>
      <c r="DP19" s="256"/>
      <c r="DR19" s="250" t="s">
        <v>593</v>
      </c>
      <c r="DS19" s="341">
        <v>3.375</v>
      </c>
      <c r="DT19" s="341">
        <v>1.75</v>
      </c>
      <c r="DU19" s="342">
        <v>1.75</v>
      </c>
      <c r="DV19" s="251">
        <v>0.28299999999999997</v>
      </c>
      <c r="DW19" s="257">
        <v>2</v>
      </c>
      <c r="DX19" s="585">
        <f>((PI()*DU19*DV19/4)*(DS19^2-DT19^2))*DW19</f>
        <v>6.4787555857887016</v>
      </c>
      <c r="DY19" s="257">
        <f>(((DX19/386.4)*(DS19^2+DT19^2))/8)</f>
        <v>3.0291881575392192E-2</v>
      </c>
      <c r="DZ19" s="258" t="e">
        <f ca="1">Ratio</f>
        <v>#N/A</v>
      </c>
      <c r="EA19" s="257" t="e">
        <f ca="1">(DY19/(DZ19^2))</f>
        <v>#N/A</v>
      </c>
      <c r="EC19" s="250" t="s">
        <v>593</v>
      </c>
      <c r="ED19" s="341">
        <v>3.375</v>
      </c>
      <c r="EE19" s="341">
        <v>1.75</v>
      </c>
      <c r="EF19" s="342">
        <v>1.5</v>
      </c>
      <c r="EG19" s="251">
        <v>0.28299999999999997</v>
      </c>
      <c r="EH19" s="257">
        <v>2</v>
      </c>
      <c r="EI19" s="585">
        <f>((PI()*EF19*EG19/4)*(ED19^2-EE19^2))*EH19</f>
        <v>5.5532190735331728</v>
      </c>
      <c r="EJ19" s="257">
        <f>(((EI19/386.4)*(ED19^2+EE19^2))/8)</f>
        <v>2.5964469921764734E-2</v>
      </c>
      <c r="EK19" s="258" t="e">
        <f ca="1">Ratio</f>
        <v>#N/A</v>
      </c>
      <c r="EL19" s="257" t="e">
        <f ca="1">(EJ19/(EK19^2))</f>
        <v>#N/A</v>
      </c>
    </row>
    <row r="20" spans="1:142" ht="15.75" x14ac:dyDescent="0.25">
      <c r="A20" s="250" t="s">
        <v>602</v>
      </c>
      <c r="B20" s="251">
        <v>2.1875</v>
      </c>
      <c r="C20" s="251">
        <v>1</v>
      </c>
      <c r="D20" s="251">
        <v>0.875</v>
      </c>
      <c r="E20" s="251">
        <v>0.28299999999999997</v>
      </c>
      <c r="F20" s="257">
        <v>1</v>
      </c>
      <c r="G20" s="585">
        <f>((PI()*D20*E20/4)*(B20^2-C20^2))*F20</f>
        <v>0.73615316165915246</v>
      </c>
      <c r="H20" s="257">
        <f>(((G20/386.4)*(B20^2+C20^2))/8)</f>
        <v>1.3777047955906142E-3</v>
      </c>
      <c r="I20" s="257" t="e">
        <f ca="1">Ratio</f>
        <v>#N/A</v>
      </c>
      <c r="J20" s="257" t="e">
        <f ca="1">(H20/(I20^2))</f>
        <v>#N/A</v>
      </c>
      <c r="L20" s="250" t="s">
        <v>602</v>
      </c>
      <c r="M20" s="251">
        <v>2.1875</v>
      </c>
      <c r="N20" s="251">
        <v>1</v>
      </c>
      <c r="O20" s="251">
        <v>0.875</v>
      </c>
      <c r="P20" s="251">
        <v>0.28299999999999997</v>
      </c>
      <c r="Q20" s="257">
        <v>1</v>
      </c>
      <c r="R20" s="585">
        <f>((PI()*P20*O20/4)*(M20^2-N20^2))*Q20</f>
        <v>0.73615316165915246</v>
      </c>
      <c r="S20" s="257">
        <f>(((R20/386.4)*(M20^2+N20^2))/8)</f>
        <v>1.3777047955906142E-3</v>
      </c>
      <c r="T20" s="257" t="e">
        <f ca="1">Ratio</f>
        <v>#N/A</v>
      </c>
      <c r="U20" s="257" t="e">
        <f ca="1">(S20/(T20^2))</f>
        <v>#N/A</v>
      </c>
      <c r="W20" s="250"/>
      <c r="X20" s="251"/>
      <c r="Y20" s="251"/>
      <c r="Z20" s="251"/>
      <c r="AA20" s="251"/>
      <c r="AB20" s="245"/>
      <c r="AC20" s="429"/>
      <c r="AD20" s="254"/>
      <c r="AE20" s="255"/>
      <c r="AF20" s="256"/>
      <c r="AH20" s="250"/>
      <c r="AI20" s="251"/>
      <c r="AJ20" s="251"/>
      <c r="AK20" s="251"/>
      <c r="AL20" s="251"/>
      <c r="AM20" s="245"/>
      <c r="AN20" s="429"/>
      <c r="AO20" s="254"/>
      <c r="AP20" s="245"/>
      <c r="AQ20" s="245"/>
      <c r="AS20" s="250"/>
      <c r="AT20" s="251"/>
      <c r="AU20" s="251"/>
      <c r="AV20" s="251"/>
      <c r="AW20" s="251"/>
      <c r="AX20" s="245"/>
      <c r="AY20" s="429"/>
      <c r="AZ20" s="254"/>
      <c r="BA20" s="251"/>
      <c r="BB20" s="256"/>
      <c r="BD20" s="250"/>
      <c r="BE20" s="251"/>
      <c r="BF20" s="251"/>
      <c r="BG20" s="251"/>
      <c r="BH20" s="251"/>
      <c r="BI20" s="245"/>
      <c r="BJ20" s="429"/>
      <c r="BK20" s="254"/>
      <c r="BL20" s="251"/>
      <c r="BM20" s="245"/>
      <c r="BO20" s="250"/>
      <c r="BP20" s="251"/>
      <c r="BQ20" s="251"/>
      <c r="BR20" s="251"/>
      <c r="BS20" s="251"/>
      <c r="BT20" s="257"/>
      <c r="BU20" s="429"/>
      <c r="BV20" s="254"/>
      <c r="BW20" s="255"/>
      <c r="BX20" s="256"/>
      <c r="BZ20" s="250"/>
      <c r="CA20" s="251"/>
      <c r="CB20" s="251"/>
      <c r="CC20" s="251"/>
      <c r="CD20" s="251"/>
      <c r="CE20" s="257"/>
      <c r="CF20" s="429"/>
      <c r="CG20" s="254"/>
      <c r="CH20" s="255"/>
      <c r="CI20" s="256"/>
      <c r="CK20" s="250"/>
      <c r="CL20" s="251"/>
      <c r="CM20" s="251"/>
      <c r="CN20" s="251"/>
      <c r="CO20" s="251"/>
      <c r="CP20" s="245"/>
      <c r="CQ20" s="429"/>
      <c r="CR20" s="254"/>
      <c r="CS20" s="245"/>
      <c r="CT20" s="245"/>
      <c r="CV20" s="250" t="s">
        <v>593</v>
      </c>
      <c r="CW20" s="255">
        <v>3.125</v>
      </c>
      <c r="CX20" s="339">
        <v>1.75</v>
      </c>
      <c r="CY20" s="339">
        <v>2</v>
      </c>
      <c r="CZ20" s="251">
        <v>0.28299999999999997</v>
      </c>
      <c r="DA20" s="257">
        <v>2</v>
      </c>
      <c r="DB20" s="585">
        <f>((PI()*CY20*CZ20/4)*(CW20^2-CX20^2))*DA20</f>
        <v>5.9595521764746247</v>
      </c>
      <c r="DC20" s="257">
        <f>(((DB20/386.4)*(CW20^2+CX20^2))/8)</f>
        <v>2.4731457124688973E-2</v>
      </c>
      <c r="DD20" s="257" t="e">
        <f ca="1">(CW19/CW16)*Ratio</f>
        <v>#N/A</v>
      </c>
      <c r="DE20" s="257" t="e">
        <f ca="1">(DC20/(DD20^2))</f>
        <v>#N/A</v>
      </c>
      <c r="DG20" s="250" t="s">
        <v>594</v>
      </c>
      <c r="DH20" s="339">
        <v>5.33</v>
      </c>
      <c r="DI20" s="339">
        <v>1.75</v>
      </c>
      <c r="DJ20" s="339">
        <v>2</v>
      </c>
      <c r="DK20" s="254">
        <v>0.28299999999999997</v>
      </c>
      <c r="DL20" s="257">
        <v>2</v>
      </c>
      <c r="DM20" s="585">
        <f>((PI()*DJ20*DK20/4)*(DH20^2-DI20^2))*DL20</f>
        <v>22.534742121890375</v>
      </c>
      <c r="DN20" s="257">
        <f>(((DM20/386.4)*(DH20^2+DI20^2))/8)</f>
        <v>0.22942542805863766</v>
      </c>
      <c r="DO20" s="257" t="e">
        <f ca="1">(DH20/DH17)*Ratio</f>
        <v>#N/A</v>
      </c>
      <c r="DP20" s="257" t="e">
        <f ca="1">(DN20/(DO20^2))</f>
        <v>#N/A</v>
      </c>
      <c r="DR20" s="250"/>
      <c r="DS20" s="341"/>
      <c r="DT20" s="341"/>
      <c r="DU20" s="258"/>
      <c r="DV20" s="251"/>
      <c r="DW20" s="245"/>
      <c r="DX20" s="435"/>
      <c r="DY20" s="254"/>
      <c r="DZ20" s="341"/>
      <c r="EA20" s="256"/>
      <c r="EC20" s="250"/>
      <c r="ED20" s="341"/>
      <c r="EE20" s="341"/>
      <c r="EF20" s="258"/>
      <c r="EG20" s="251"/>
      <c r="EH20" s="245"/>
      <c r="EI20" s="435"/>
      <c r="EJ20" s="254"/>
      <c r="EK20" s="341"/>
      <c r="EL20" s="256"/>
    </row>
    <row r="21" spans="1:142" ht="15.75" x14ac:dyDescent="0.25">
      <c r="A21" s="250"/>
      <c r="B21" s="251"/>
      <c r="C21" s="251"/>
      <c r="D21" s="251"/>
      <c r="E21" s="251"/>
      <c r="F21" s="245"/>
      <c r="G21" s="429"/>
      <c r="H21" s="254"/>
      <c r="I21" s="245"/>
      <c r="J21" s="256"/>
      <c r="L21" s="250"/>
      <c r="M21" s="251"/>
      <c r="N21" s="251"/>
      <c r="O21" s="251"/>
      <c r="P21" s="251"/>
      <c r="Q21" s="245"/>
      <c r="R21" s="429"/>
      <c r="S21" s="254"/>
      <c r="T21" s="245"/>
      <c r="U21" s="256"/>
      <c r="W21" s="250" t="s">
        <v>1034</v>
      </c>
      <c r="X21" s="251">
        <v>3.1875</v>
      </c>
      <c r="Y21" s="251">
        <v>1.25</v>
      </c>
      <c r="Z21" s="251">
        <v>0.4375</v>
      </c>
      <c r="AA21" s="251">
        <v>0.28299999999999997</v>
      </c>
      <c r="AB21" s="257">
        <v>1</v>
      </c>
      <c r="AC21" s="585">
        <f>((PI()*Z21*AA21/4)*(X21^2-Y21^2))*AB21</f>
        <v>0.8360542357130003</v>
      </c>
      <c r="AD21" s="257">
        <f>(((AC21/386.4)*(X21^2+Y21^2))/8)</f>
        <v>3.1705410234277877E-3</v>
      </c>
      <c r="AE21" s="257" t="e">
        <f ca="1">Ratio</f>
        <v>#N/A</v>
      </c>
      <c r="AF21" s="257" t="e">
        <f ca="1">(AD21/(AE21^2))</f>
        <v>#N/A</v>
      </c>
      <c r="AH21" s="250" t="s">
        <v>1034</v>
      </c>
      <c r="AI21" s="251">
        <v>3.1875</v>
      </c>
      <c r="AJ21" s="251">
        <v>1.25</v>
      </c>
      <c r="AK21" s="251">
        <v>0.4375</v>
      </c>
      <c r="AL21" s="251">
        <v>0.28299999999999997</v>
      </c>
      <c r="AM21" s="257">
        <v>1</v>
      </c>
      <c r="AN21" s="585">
        <f>((PI()*AK21*AL21/4)*(AI21^2-AJ21^2))*AM21</f>
        <v>0.8360542357130003</v>
      </c>
      <c r="AO21" s="257">
        <f>(((AN21/386.4)*(AI21^2+AJ21^2))/8)</f>
        <v>3.1705410234277877E-3</v>
      </c>
      <c r="AP21" s="257" t="e">
        <f ca="1">Ratio</f>
        <v>#N/A</v>
      </c>
      <c r="AQ21" s="257" t="e">
        <f ca="1">(AO21/(AP21^2))</f>
        <v>#N/A</v>
      </c>
      <c r="AS21" s="250" t="s">
        <v>597</v>
      </c>
      <c r="AT21" s="251">
        <v>3.1880000000000002</v>
      </c>
      <c r="AU21" s="251">
        <v>1.25</v>
      </c>
      <c r="AV21" s="251">
        <v>0.438</v>
      </c>
      <c r="AW21" s="251">
        <v>0.28299999999999997</v>
      </c>
      <c r="AX21" s="257">
        <v>1</v>
      </c>
      <c r="AY21" s="585">
        <f>((PI()*AV21*AW21/4)*(AT21^2-AU21^2))*AX21</f>
        <v>0.83732006407148896</v>
      </c>
      <c r="AZ21" s="257">
        <f>(((AY21/386.4)*(AT21^2+AU21^2))/8)</f>
        <v>3.1762048555163971E-3</v>
      </c>
      <c r="BA21" s="257" t="e">
        <f ca="1">Ratio</f>
        <v>#N/A</v>
      </c>
      <c r="BB21" s="257" t="e">
        <f ca="1">(AZ21/(BA21^2))</f>
        <v>#N/A</v>
      </c>
      <c r="BD21" s="250" t="s">
        <v>597</v>
      </c>
      <c r="BE21" s="251">
        <v>3.1880000000000002</v>
      </c>
      <c r="BF21" s="251">
        <v>1.875</v>
      </c>
      <c r="BG21" s="251">
        <v>0.438</v>
      </c>
      <c r="BH21" s="251">
        <v>0.28299999999999997</v>
      </c>
      <c r="BI21" s="257">
        <v>1</v>
      </c>
      <c r="BJ21" s="585">
        <f>((PI()*BG21*BH21/4)*(BE21^2-BF21^2))*BI21</f>
        <v>0.64717700948991219</v>
      </c>
      <c r="BK21" s="257">
        <f>(((BJ21/386.4)*(BE21^2+BF21^2))/8)</f>
        <v>2.8638438956797409E-3</v>
      </c>
      <c r="BL21" s="257" t="e">
        <f ca="1">Ratio</f>
        <v>#N/A</v>
      </c>
      <c r="BM21" s="257" t="e">
        <f ca="1">(BK21/(BL21^2))</f>
        <v>#N/A</v>
      </c>
      <c r="BO21" s="250" t="s">
        <v>597</v>
      </c>
      <c r="BP21" s="251">
        <v>3.1875</v>
      </c>
      <c r="BQ21" s="251">
        <v>1.875</v>
      </c>
      <c r="BR21" s="251">
        <v>0.438</v>
      </c>
      <c r="BS21" s="251">
        <v>0.28299999999999997</v>
      </c>
      <c r="BT21" s="257">
        <v>1</v>
      </c>
      <c r="BU21" s="585">
        <f>((PI()*BR21*BS21/4)*(BP21^2-BQ21^2))*BT21</f>
        <v>0.64686667168652401</v>
      </c>
      <c r="BV21" s="257">
        <f>(((BU21/386.4)*(BP21^2+BQ21^2))/8)</f>
        <v>2.8618035390464776E-3</v>
      </c>
      <c r="BW21" s="257" t="e">
        <f ca="1">Ratio</f>
        <v>#N/A</v>
      </c>
      <c r="BX21" s="257" t="e">
        <f ca="1">(BV21/(BW21^2))</f>
        <v>#N/A</v>
      </c>
      <c r="BZ21" s="250" t="s">
        <v>597</v>
      </c>
      <c r="CA21" s="251">
        <v>3.1875</v>
      </c>
      <c r="CB21" s="251">
        <v>1</v>
      </c>
      <c r="CC21" s="251">
        <v>0.438</v>
      </c>
      <c r="CD21" s="251">
        <v>0.28299999999999997</v>
      </c>
      <c r="CE21" s="257">
        <v>1</v>
      </c>
      <c r="CF21" s="585">
        <f>((PI()*CC21*CD21/4)*(CA21^2-CB21^2))*CE21</f>
        <v>0.89177092598759489</v>
      </c>
      <c r="CG21" s="257">
        <f>(((CF21/386.4)*(CA21^2+CB21^2))/8)</f>
        <v>3.2195596768985328E-3</v>
      </c>
      <c r="CH21" s="257" t="e">
        <f ca="1">Ratio</f>
        <v>#N/A</v>
      </c>
      <c r="CI21" s="257" t="e">
        <f ca="1">(CG21/(CH21^2))</f>
        <v>#N/A</v>
      </c>
      <c r="CK21" s="250" t="s">
        <v>1032</v>
      </c>
      <c r="CL21" s="251">
        <v>14.382999999999999</v>
      </c>
      <c r="CM21" s="251">
        <v>13.2</v>
      </c>
      <c r="CN21" s="251">
        <v>2.38</v>
      </c>
      <c r="CO21" s="251">
        <v>0.28299999999999997</v>
      </c>
      <c r="CP21" s="257">
        <v>1</v>
      </c>
      <c r="CQ21" s="585">
        <f>((PI()*CN21*CO21/4)*(CL21^2-CM21^2))*CP21</f>
        <v>17.261539165932433</v>
      </c>
      <c r="CR21" s="257">
        <f>(((CQ21/386.4)*(CL21^2+CM21^2))/8)</f>
        <v>2.1281564068093277</v>
      </c>
      <c r="CS21" s="257" t="e">
        <f ca="1">Ratio</f>
        <v>#N/A</v>
      </c>
      <c r="CT21" s="257" t="e">
        <f ca="1">(CR21/(CS21^2))</f>
        <v>#N/A</v>
      </c>
      <c r="CV21" s="250"/>
      <c r="CW21" s="257"/>
      <c r="CX21" s="339"/>
      <c r="CY21" s="339"/>
      <c r="CZ21" s="257"/>
      <c r="DA21" s="257"/>
      <c r="DB21" s="435"/>
      <c r="DC21" s="254"/>
      <c r="DD21" s="255"/>
      <c r="DE21" s="256"/>
      <c r="DG21" s="250" t="s">
        <v>593</v>
      </c>
      <c r="DH21" s="339">
        <v>3.13</v>
      </c>
      <c r="DI21" s="339">
        <v>1.75</v>
      </c>
      <c r="DJ21" s="339">
        <v>2</v>
      </c>
      <c r="DK21" s="254">
        <v>0.28299999999999997</v>
      </c>
      <c r="DL21" s="257">
        <v>2</v>
      </c>
      <c r="DM21" s="585">
        <f>((PI()*DJ21*DK21/4)*(DH21^2-DI21^2))*DL21</f>
        <v>5.9873578632728321</v>
      </c>
      <c r="DN21" s="257">
        <f>(((DM21/386.4)*(DH21^2+DI21^2))/8)</f>
        <v>2.4907424206447547E-2</v>
      </c>
      <c r="DO21" s="257" t="e">
        <f ca="1">(DH20/DH17)*Ratio</f>
        <v>#N/A</v>
      </c>
      <c r="DP21" s="257" t="e">
        <f ca="1">(DN21/(DO21^2))</f>
        <v>#N/A</v>
      </c>
      <c r="DR21" s="250" t="s">
        <v>604</v>
      </c>
      <c r="DS21" s="341">
        <v>5.33</v>
      </c>
      <c r="DT21" s="341">
        <v>2</v>
      </c>
      <c r="DU21" s="342">
        <v>1.75</v>
      </c>
      <c r="DV21" s="251">
        <v>0.28299999999999997</v>
      </c>
      <c r="DW21" s="257">
        <v>2</v>
      </c>
      <c r="DX21" s="585">
        <f>((PI()*DU21*DV21/4)*(DS21^2-DT21^2))*DW21</f>
        <v>18.988583530861728</v>
      </c>
      <c r="DY21" s="257">
        <f>(((DX21/386.4)*(DS21^2+DT21^2))/8)</f>
        <v>0.19908097334153232</v>
      </c>
      <c r="DZ21" s="258" t="e">
        <f ca="1">($DS$18/$DS$21)*Ratio</f>
        <v>#N/A</v>
      </c>
      <c r="EA21" s="257" t="e">
        <f ca="1">(DY21/(DZ21^2))</f>
        <v>#N/A</v>
      </c>
      <c r="EC21" s="250" t="s">
        <v>604</v>
      </c>
      <c r="ED21" s="341">
        <v>6.33</v>
      </c>
      <c r="EE21" s="341">
        <v>1.75</v>
      </c>
      <c r="EF21" s="342">
        <v>2</v>
      </c>
      <c r="EG21" s="251">
        <v>0.28299999999999997</v>
      </c>
      <c r="EH21" s="257">
        <v>2</v>
      </c>
      <c r="EI21" s="585">
        <f>((PI()*EF21*EG21/4)*(ED21^2-EE21^2))*EH21</f>
        <v>32.9013067283529</v>
      </c>
      <c r="EJ21" s="257">
        <f>(((EI21/386.4)*(ED21^2+EE21^2))/8)</f>
        <v>0.45907072367471541</v>
      </c>
      <c r="EK21" s="258" t="e">
        <f ca="1">(ED21/ED18)*Ratio</f>
        <v>#N/A</v>
      </c>
      <c r="EL21" s="257" t="e">
        <f ca="1">(EJ21/(EK21^2))</f>
        <v>#N/A</v>
      </c>
    </row>
    <row r="22" spans="1:142" ht="15.75" x14ac:dyDescent="0.25">
      <c r="A22" s="250" t="s">
        <v>605</v>
      </c>
      <c r="B22" s="251">
        <v>1.879</v>
      </c>
      <c r="C22" s="251">
        <v>0.875</v>
      </c>
      <c r="D22" s="251">
        <v>1.28</v>
      </c>
      <c r="E22" s="251">
        <v>0.28299999999999997</v>
      </c>
      <c r="F22" s="257">
        <v>1</v>
      </c>
      <c r="G22" s="585">
        <f>((PI()*D22*E22/4)*(B22^2-C22^2))*F22</f>
        <v>0.78665432595272977</v>
      </c>
      <c r="H22" s="257">
        <f>(((G22/386.4)*(B22^2+C22^2))/8)</f>
        <v>1.0933217631805224E-3</v>
      </c>
      <c r="I22" s="257">
        <f>IF(I32=0,1,I32)</f>
        <v>1</v>
      </c>
      <c r="J22" s="257">
        <f>(H22/(I22^2))</f>
        <v>1.0933217631805224E-3</v>
      </c>
      <c r="L22" s="250" t="s">
        <v>605</v>
      </c>
      <c r="M22" s="251">
        <v>1.879</v>
      </c>
      <c r="N22" s="251">
        <v>0.625</v>
      </c>
      <c r="O22" s="251">
        <v>1.28</v>
      </c>
      <c r="P22" s="251">
        <v>0.28299999999999997</v>
      </c>
      <c r="Q22" s="257">
        <v>1</v>
      </c>
      <c r="R22" s="585">
        <f>((PI()*P22*O22/4)*(M22^2-N22^2))*Q22</f>
        <v>0.89334281246863922</v>
      </c>
      <c r="S22" s="257">
        <f>(((R22/386.4)*(M22^2+N22^2))/8)</f>
        <v>1.1332281304599027E-3</v>
      </c>
      <c r="T22" s="257">
        <f>IF(T32=0,1,T32)</f>
        <v>1</v>
      </c>
      <c r="U22" s="257">
        <f>(S22/(T22^2))</f>
        <v>1.1332281304599027E-3</v>
      </c>
      <c r="W22" s="250" t="s">
        <v>1035</v>
      </c>
      <c r="X22" s="251">
        <v>2.1875</v>
      </c>
      <c r="Y22" s="251">
        <v>1.25</v>
      </c>
      <c r="Z22" s="251">
        <v>0.875</v>
      </c>
      <c r="AA22" s="251">
        <v>0.28299999999999997</v>
      </c>
      <c r="AB22" s="257">
        <v>1</v>
      </c>
      <c r="AC22" s="585">
        <f>((PI()*Z22*AA22/4)*(X22^2-Y22^2))*AB22</f>
        <v>0.62675578779030006</v>
      </c>
      <c r="AD22" s="257">
        <f>(((AC22/386.4)*(X22^2+Y22^2))/8)</f>
        <v>1.2870180815187538E-3</v>
      </c>
      <c r="AE22" s="257" t="e">
        <f ca="1">Ratio</f>
        <v>#N/A</v>
      </c>
      <c r="AF22" s="257" t="e">
        <f ca="1">(AD22/(AE22^2))</f>
        <v>#N/A</v>
      </c>
      <c r="AH22" s="250" t="s">
        <v>1035</v>
      </c>
      <c r="AI22" s="251">
        <v>2.1875</v>
      </c>
      <c r="AJ22" s="251">
        <v>1.25</v>
      </c>
      <c r="AK22" s="251">
        <v>0.875</v>
      </c>
      <c r="AL22" s="251">
        <v>0.28299999999999997</v>
      </c>
      <c r="AM22" s="257">
        <v>1</v>
      </c>
      <c r="AN22" s="585">
        <f>((PI()*AK22*AL22/4)*(AI22^2-AJ22^2))*AM22</f>
        <v>0.62675578779030006</v>
      </c>
      <c r="AO22" s="257">
        <f>(((AN22/386.4)*(AI22^2+AJ22^2))/8)</f>
        <v>1.2870180815187538E-3</v>
      </c>
      <c r="AP22" s="257" t="e">
        <f ca="1">Ratio</f>
        <v>#N/A</v>
      </c>
      <c r="AQ22" s="257" t="e">
        <f ca="1">(AO22/(AP22^2))</f>
        <v>#N/A</v>
      </c>
      <c r="AS22" s="250" t="s">
        <v>606</v>
      </c>
      <c r="AT22" s="251">
        <v>2.1880000000000002</v>
      </c>
      <c r="AU22" s="251">
        <v>1.25</v>
      </c>
      <c r="AV22" s="251">
        <v>0.875</v>
      </c>
      <c r="AW22" s="251">
        <v>0.28299999999999997</v>
      </c>
      <c r="AX22" s="257">
        <v>1</v>
      </c>
      <c r="AY22" s="585">
        <f>((PI()*AV22*AW22/4)*(AT22^2-AU22^2))*AX22</f>
        <v>0.6271812706430675</v>
      </c>
      <c r="AZ22" s="257">
        <f>(((AY22/386.4)*(AT22^2+AU22^2))/8)</f>
        <v>1.2883356716826019E-3</v>
      </c>
      <c r="BA22" s="257" t="e">
        <f ca="1">Ratio</f>
        <v>#N/A</v>
      </c>
      <c r="BB22" s="257" t="e">
        <f ca="1">(AZ22/(BA22^2))</f>
        <v>#N/A</v>
      </c>
      <c r="BD22" s="250" t="s">
        <v>606</v>
      </c>
      <c r="BE22" s="251">
        <v>2.1880000000000002</v>
      </c>
      <c r="BF22" s="251">
        <v>1.875</v>
      </c>
      <c r="BG22" s="251">
        <v>0.875</v>
      </c>
      <c r="BH22" s="251">
        <v>0.28299999999999997</v>
      </c>
      <c r="BI22" s="257">
        <v>1</v>
      </c>
      <c r="BJ22" s="585">
        <f>((PI()*BG22*BH22/4)*(BE22^2-BF22^2))*BI22</f>
        <v>0.24732927804288565</v>
      </c>
      <c r="BK22" s="257">
        <f>(((BJ22/386.4)*(BE22^2+BF22^2))/8)</f>
        <v>6.6432690488563042E-4</v>
      </c>
      <c r="BL22" s="257" t="e">
        <f ca="1">Ratio</f>
        <v>#N/A</v>
      </c>
      <c r="BM22" s="257" t="e">
        <f ca="1">(BK22/(BL22^2))</f>
        <v>#N/A</v>
      </c>
      <c r="BO22" s="250" t="s">
        <v>607</v>
      </c>
      <c r="BP22" s="251">
        <v>2.1875</v>
      </c>
      <c r="BQ22" s="251">
        <v>1.875</v>
      </c>
      <c r="BR22" s="251">
        <v>0.875</v>
      </c>
      <c r="BS22" s="251">
        <v>0.28299999999999997</v>
      </c>
      <c r="BT22" s="257">
        <v>1</v>
      </c>
      <c r="BU22" s="585">
        <f>((PI()*BR22*BS22/4)*(BP22^2-BQ22^2))*BT22</f>
        <v>0.24690379519011821</v>
      </c>
      <c r="BV22" s="257">
        <f>(((BU22/386.4)*(BP22^2+BQ22^2))/8)</f>
        <v>6.6300931472178237E-4</v>
      </c>
      <c r="BW22" s="257" t="e">
        <f ca="1">Ratio</f>
        <v>#N/A</v>
      </c>
      <c r="BX22" s="257" t="e">
        <f ca="1">(BV22/(BW22^2))</f>
        <v>#N/A</v>
      </c>
      <c r="BZ22" s="250" t="s">
        <v>1036</v>
      </c>
      <c r="CA22" s="251">
        <v>2.1875</v>
      </c>
      <c r="CB22" s="251">
        <v>1</v>
      </c>
      <c r="CC22" s="251">
        <v>0.875</v>
      </c>
      <c r="CD22" s="251">
        <v>0.28299999999999997</v>
      </c>
      <c r="CE22" s="257">
        <v>1</v>
      </c>
      <c r="CF22" s="585">
        <f>((PI()*CC22*CD22/4)*(CA22^2-CB22^2))*CE22</f>
        <v>0.73615316165915246</v>
      </c>
      <c r="CG22" s="257">
        <f>(((CF22/386.4)*(CA22^2+CB22^2))/8)</f>
        <v>1.3777047955906142E-3</v>
      </c>
      <c r="CH22" s="257" t="e">
        <f ca="1">Ratio</f>
        <v>#N/A</v>
      </c>
      <c r="CI22" s="257" t="e">
        <f ca="1">(CG22/(CH22^2))</f>
        <v>#N/A</v>
      </c>
      <c r="CK22" s="250" t="s">
        <v>608</v>
      </c>
      <c r="CL22" s="251">
        <v>13.2</v>
      </c>
      <c r="CM22" s="251">
        <v>3.8340000000000001</v>
      </c>
      <c r="CN22" s="251">
        <v>2.375</v>
      </c>
      <c r="CO22" s="251">
        <v>0.28299999999999997</v>
      </c>
      <c r="CP22" s="257">
        <v>1</v>
      </c>
      <c r="CQ22" s="585">
        <f>((PI()*CN22*CO22/4)*(CL22^2-CM22^2))*CP22</f>
        <v>84.219125432366567</v>
      </c>
      <c r="CR22" s="257">
        <f>(((CQ22/386.4)*(CL22^2+CM22^2))/8)</f>
        <v>5.1476203952832709</v>
      </c>
      <c r="CS22" s="257" t="e">
        <f ca="1">Ratio</f>
        <v>#N/A</v>
      </c>
      <c r="CT22" s="257" t="e">
        <f ca="1">(CR22/(CS22^2))</f>
        <v>#N/A</v>
      </c>
      <c r="CV22" s="250" t="s">
        <v>587</v>
      </c>
      <c r="CW22" s="255">
        <v>9.7200000000000006</v>
      </c>
      <c r="CX22" s="339">
        <v>8.19</v>
      </c>
      <c r="CY22" s="339">
        <v>3.31</v>
      </c>
      <c r="CZ22" s="251">
        <v>0.28299999999999997</v>
      </c>
      <c r="DA22" s="257">
        <v>1</v>
      </c>
      <c r="DB22" s="585">
        <f>((PI()*CY22*CZ22/4)*(CW22^2-CX22^2))*DA22</f>
        <v>20.160037115670278</v>
      </c>
      <c r="DC22" s="257">
        <f>(((DB22/386.4)*(CW22^2+CX22^2))/8)</f>
        <v>1.0536182441134687</v>
      </c>
      <c r="DD22" s="257" t="e">
        <f ca="1">Ratio</f>
        <v>#N/A</v>
      </c>
      <c r="DE22" s="257" t="e">
        <f ca="1">(DC22/(DD22^2))</f>
        <v>#N/A</v>
      </c>
      <c r="DG22" s="250"/>
      <c r="DH22" s="339"/>
      <c r="DI22" s="339"/>
      <c r="DJ22" s="339"/>
      <c r="DK22" s="254"/>
      <c r="DL22" s="245"/>
      <c r="DM22" s="435"/>
      <c r="DN22" s="254"/>
      <c r="DO22" s="255"/>
      <c r="DP22" s="256"/>
      <c r="DR22" s="250" t="s">
        <v>593</v>
      </c>
      <c r="DS22" s="341">
        <v>3.13</v>
      </c>
      <c r="DT22" s="341">
        <v>2</v>
      </c>
      <c r="DU22" s="342">
        <v>1.75</v>
      </c>
      <c r="DV22" s="251">
        <v>0.28299999999999997</v>
      </c>
      <c r="DW22" s="257">
        <v>2</v>
      </c>
      <c r="DX22" s="585">
        <f>((PI()*DU22*DV22/4)*(DS22^2-DT22^2))*DW22</f>
        <v>4.509622304571379</v>
      </c>
      <c r="DY22" s="257">
        <f>(((DX22/386.4)*(DS22^2+DT22^2))/8)</f>
        <v>2.0127719970865963E-2</v>
      </c>
      <c r="DZ22" s="258" t="e">
        <f ca="1">($DS$18/$DS$21)*Ratio</f>
        <v>#N/A</v>
      </c>
      <c r="EA22" s="257" t="e">
        <f ca="1">(DY22/(DZ22^2))</f>
        <v>#N/A</v>
      </c>
      <c r="EC22" s="250" t="s">
        <v>593</v>
      </c>
      <c r="ED22" s="341">
        <v>3.38</v>
      </c>
      <c r="EE22" s="341">
        <v>1.75</v>
      </c>
      <c r="EF22" s="342">
        <v>1.5</v>
      </c>
      <c r="EG22" s="251">
        <v>0.28299999999999997</v>
      </c>
      <c r="EH22" s="257">
        <v>2</v>
      </c>
      <c r="EI22" s="585">
        <f>((PI()*EF22*EG22/4)*(ED22^2-EE22^2))*EH22</f>
        <v>5.5757403462336397</v>
      </c>
      <c r="EJ22" s="257">
        <f>(((EI22/386.4)*(ED22^2+EE22^2))/8)</f>
        <v>2.6130691259657127E-2</v>
      </c>
      <c r="EK22" s="258" t="e">
        <f ca="1">(ED21/ED18)*Ratio</f>
        <v>#N/A</v>
      </c>
      <c r="EL22" s="257" t="e">
        <f ca="1">(EJ22/(EK22^2))</f>
        <v>#N/A</v>
      </c>
    </row>
    <row r="23" spans="1:142" ht="15.75" x14ac:dyDescent="0.25">
      <c r="A23" s="250" t="s">
        <v>609</v>
      </c>
      <c r="B23" s="251">
        <v>1.19</v>
      </c>
      <c r="C23" s="251">
        <v>0.875</v>
      </c>
      <c r="D23" s="251">
        <v>0.42</v>
      </c>
      <c r="E23" s="251">
        <v>0.28299999999999997</v>
      </c>
      <c r="F23" s="257">
        <v>1</v>
      </c>
      <c r="G23" s="585">
        <f>((PI()*D23*E23/4)*(B23^2-C23^2))*F23</f>
        <v>6.0723419108131615E-2</v>
      </c>
      <c r="H23" s="257">
        <f>(((G23/386.4)*(B23^2+C23^2))/8)</f>
        <v>4.2857725657896118E-5</v>
      </c>
      <c r="I23" s="257">
        <f>IF(I32=0,1,I32)</f>
        <v>1</v>
      </c>
      <c r="J23" s="257">
        <f>(H23/(I23^2))</f>
        <v>4.2857725657896118E-5</v>
      </c>
      <c r="L23" s="250" t="s">
        <v>609</v>
      </c>
      <c r="M23" s="251">
        <v>1.19</v>
      </c>
      <c r="N23" s="251">
        <v>0.625</v>
      </c>
      <c r="O23" s="251">
        <v>0.42</v>
      </c>
      <c r="P23" s="251">
        <v>0.28299999999999997</v>
      </c>
      <c r="Q23" s="257">
        <v>1</v>
      </c>
      <c r="R23" s="585">
        <f>((PI()*P23*O23/4)*(M23^2-N23^2))*Q23</f>
        <v>9.5730578746164377E-2</v>
      </c>
      <c r="S23" s="257">
        <f>(((R23/386.4)*(M23^2+N23^2))/8)</f>
        <v>5.5952002421442755E-5</v>
      </c>
      <c r="T23" s="257">
        <f>IF(T32=0,1,T32)</f>
        <v>1</v>
      </c>
      <c r="U23" s="257">
        <f>(S23/(T23^2))</f>
        <v>5.5952002421442755E-5</v>
      </c>
      <c r="W23" s="250"/>
      <c r="X23" s="251"/>
      <c r="Y23" s="251"/>
      <c r="Z23" s="251"/>
      <c r="AA23" s="251"/>
      <c r="AB23" s="245"/>
      <c r="AC23" s="429"/>
      <c r="AD23" s="254"/>
      <c r="AE23" s="245"/>
      <c r="AF23" s="256"/>
      <c r="AH23" s="250"/>
      <c r="AI23" s="251"/>
      <c r="AJ23" s="251"/>
      <c r="AK23" s="251"/>
      <c r="AL23" s="251"/>
      <c r="AM23" s="245"/>
      <c r="AN23" s="429"/>
      <c r="AO23" s="254"/>
      <c r="AP23" s="245"/>
      <c r="AQ23" s="245"/>
      <c r="AS23" s="250"/>
      <c r="AT23" s="251"/>
      <c r="AU23" s="251"/>
      <c r="AV23" s="251"/>
      <c r="AW23" s="251"/>
      <c r="AX23" s="245"/>
      <c r="AY23" s="429"/>
      <c r="AZ23" s="254"/>
      <c r="BA23" s="251"/>
      <c r="BB23" s="256"/>
      <c r="BD23" s="250"/>
      <c r="BE23" s="251"/>
      <c r="BF23" s="251"/>
      <c r="BG23" s="251"/>
      <c r="BH23" s="251"/>
      <c r="BI23" s="245"/>
      <c r="BJ23" s="429"/>
      <c r="BK23" s="254"/>
      <c r="BL23" s="251"/>
      <c r="BM23" s="245"/>
      <c r="BO23" s="250"/>
      <c r="BP23" s="251"/>
      <c r="BQ23" s="251"/>
      <c r="BS23" s="251"/>
      <c r="BT23" s="245"/>
      <c r="BU23" s="429"/>
      <c r="BV23" s="254"/>
      <c r="BW23" s="245"/>
      <c r="BX23" s="245"/>
      <c r="BZ23" s="250"/>
      <c r="CA23" s="251"/>
      <c r="CB23" s="251"/>
      <c r="CC23" s="251"/>
      <c r="CD23" s="251"/>
      <c r="CE23" s="245"/>
      <c r="CF23" s="429"/>
      <c r="CG23" s="254"/>
      <c r="CH23" s="245"/>
      <c r="CI23" s="245"/>
      <c r="CK23" s="250"/>
      <c r="CL23" s="251"/>
      <c r="CM23" s="251"/>
      <c r="CN23" s="251"/>
      <c r="CO23" s="251"/>
      <c r="CP23" s="257"/>
      <c r="CQ23" s="429"/>
      <c r="CR23" s="254"/>
      <c r="CS23" s="255"/>
      <c r="CT23" s="256"/>
      <c r="CV23" s="250" t="s">
        <v>1037</v>
      </c>
      <c r="CW23" s="257">
        <v>8.19</v>
      </c>
      <c r="CX23" s="339">
        <v>4.4400000000000004</v>
      </c>
      <c r="CY23" s="339">
        <v>2.5</v>
      </c>
      <c r="CZ23" s="257">
        <v>0.28299999999999997</v>
      </c>
      <c r="DA23" s="257">
        <v>1</v>
      </c>
      <c r="DB23" s="585">
        <f>((PI()*CY23*CZ23/4)*(CW23^2-CX23^2))*DA23</f>
        <v>26.317882513592487</v>
      </c>
      <c r="DC23" s="257">
        <f>(((DB23/386.4)*(CW23^2+CX23^2))/8)</f>
        <v>0.73891082039011968</v>
      </c>
      <c r="DD23" s="257" t="e">
        <f ca="1">Ratio</f>
        <v>#N/A</v>
      </c>
      <c r="DE23" s="257" t="e">
        <f ca="1">(DC23/(DD23^2))</f>
        <v>#N/A</v>
      </c>
      <c r="DG23" s="250" t="s">
        <v>1032</v>
      </c>
      <c r="DH23" s="339">
        <v>9.7200000000000006</v>
      </c>
      <c r="DI23" s="339">
        <v>8.19</v>
      </c>
      <c r="DJ23" s="339">
        <v>3.31</v>
      </c>
      <c r="DK23" s="254">
        <v>0.28299999999999997</v>
      </c>
      <c r="DL23" s="257">
        <v>1</v>
      </c>
      <c r="DM23" s="585">
        <f>((PI()*DJ23*DK23/4)*(DH23^2-DI23^2))*DL23</f>
        <v>20.160037115670278</v>
      </c>
      <c r="DN23" s="257">
        <f>(((DM23/386.4)*(DH23^2+DI23^2))/8)</f>
        <v>1.0536182441134687</v>
      </c>
      <c r="DO23" s="257" t="e">
        <f ca="1">Ratio</f>
        <v>#N/A</v>
      </c>
      <c r="DP23" s="257" t="e">
        <f ca="1">(DN23/(DO23^2))</f>
        <v>#N/A</v>
      </c>
      <c r="DR23" s="250"/>
      <c r="DS23" s="258"/>
      <c r="DT23" s="258"/>
      <c r="DU23" s="258"/>
      <c r="DV23" s="245"/>
      <c r="DW23" s="245"/>
      <c r="DX23" s="435"/>
      <c r="DY23" s="254"/>
      <c r="DZ23" s="341"/>
      <c r="EA23" s="256"/>
      <c r="EC23" s="250"/>
      <c r="ED23" s="258"/>
      <c r="EE23" s="258"/>
      <c r="EF23" s="258"/>
      <c r="EG23" s="245"/>
      <c r="EH23" s="245"/>
      <c r="EI23" s="435"/>
      <c r="EJ23" s="254"/>
      <c r="EK23" s="341"/>
      <c r="EL23" s="256"/>
    </row>
    <row r="24" spans="1:142" ht="15.75" x14ac:dyDescent="0.25">
      <c r="A24" s="250"/>
      <c r="B24" s="251"/>
      <c r="C24" s="251"/>
      <c r="D24" s="251"/>
      <c r="E24" s="251"/>
      <c r="F24" s="245"/>
      <c r="G24" s="429"/>
      <c r="H24" s="254"/>
      <c r="I24" s="245"/>
      <c r="J24" s="245"/>
      <c r="L24" s="250"/>
      <c r="M24" s="251"/>
      <c r="N24" s="251"/>
      <c r="O24" s="251"/>
      <c r="P24" s="251"/>
      <c r="Q24" s="245"/>
      <c r="R24" s="429"/>
      <c r="S24" s="254"/>
      <c r="T24" s="245"/>
      <c r="U24" s="245"/>
      <c r="W24" s="250" t="s">
        <v>1038</v>
      </c>
      <c r="X24" s="251">
        <v>3.15</v>
      </c>
      <c r="Y24" s="251">
        <v>1.57</v>
      </c>
      <c r="Z24" s="251">
        <v>0.35</v>
      </c>
      <c r="AA24" s="251">
        <v>0.28299999999999997</v>
      </c>
      <c r="AB24" s="257">
        <v>1</v>
      </c>
      <c r="AC24" s="585">
        <f>((PI()*Z24*AA24/4)*(X24^2-Y24^2))*AB24</f>
        <v>0.58015420825909569</v>
      </c>
      <c r="AD24" s="257">
        <f>(((AC24/386.4)*(X24^2+Y24^2))/8)</f>
        <v>2.3248583848954197E-3</v>
      </c>
      <c r="AE24" s="257">
        <f>IF(AE32=0,1,AE32)</f>
        <v>1</v>
      </c>
      <c r="AF24" s="257">
        <f>(AD24/(AE24^2))</f>
        <v>2.3248583848954197E-3</v>
      </c>
      <c r="AH24" s="250" t="s">
        <v>1038</v>
      </c>
      <c r="AI24" s="251">
        <v>3.15</v>
      </c>
      <c r="AJ24" s="251">
        <v>1.57</v>
      </c>
      <c r="AK24" s="251">
        <v>0.35</v>
      </c>
      <c r="AL24" s="251">
        <v>0.28299999999999997</v>
      </c>
      <c r="AM24" s="257">
        <v>1</v>
      </c>
      <c r="AN24" s="585">
        <f>((PI()*AK24*AL24/4)*(AI24^2-AJ24^2))*AM24</f>
        <v>0.58015420825909569</v>
      </c>
      <c r="AO24" s="257">
        <f>(((AN24/386.4)*(AI24^2+AJ24^2))/8)</f>
        <v>2.3248583848954197E-3</v>
      </c>
      <c r="AP24" s="257">
        <f>IF(AP32=0,1,AP32)</f>
        <v>1</v>
      </c>
      <c r="AQ24" s="257">
        <f>(AO24/(AP24^2))</f>
        <v>2.3248583848954197E-3</v>
      </c>
      <c r="AS24" s="250" t="s">
        <v>605</v>
      </c>
      <c r="AT24" s="251">
        <v>3.15</v>
      </c>
      <c r="AU24" s="251">
        <v>1.57</v>
      </c>
      <c r="AV24" s="251">
        <v>0.35</v>
      </c>
      <c r="AW24" s="251">
        <v>0.28299999999999997</v>
      </c>
      <c r="AX24" s="257">
        <v>1</v>
      </c>
      <c r="AY24" s="585">
        <f>((PI()*AV24*AW24/4)*(AT24^2-AU24^2))*AX24</f>
        <v>0.58015420825909569</v>
      </c>
      <c r="AZ24" s="257">
        <f>(((AY24/386.4)*(AT24^2+AU24^2))/8)</f>
        <v>2.3248583848954197E-3</v>
      </c>
      <c r="BA24" s="257">
        <f>IF(BA34=0,1,BA34)</f>
        <v>1</v>
      </c>
      <c r="BB24" s="257">
        <f>(AZ24/(BA24^2))</f>
        <v>2.3248583848954197E-3</v>
      </c>
      <c r="BD24" s="250" t="s">
        <v>1038</v>
      </c>
      <c r="BE24" s="251">
        <v>2.7549999999999999</v>
      </c>
      <c r="BF24" s="251">
        <v>2</v>
      </c>
      <c r="BG24" s="251">
        <v>1.2</v>
      </c>
      <c r="BH24" s="251">
        <v>0.28299999999999997</v>
      </c>
      <c r="BI24" s="257">
        <v>1</v>
      </c>
      <c r="BJ24" s="585">
        <f>((PI()*BG24*BH24/4)*(BE24^2-BF24^2))*BI24</f>
        <v>0.95753583451069368</v>
      </c>
      <c r="BK24" s="257">
        <f>(((BJ24/386.4)*(BE24^2+BF24^2))/8)</f>
        <v>3.5901475997589297E-3</v>
      </c>
      <c r="BL24" s="257">
        <f>IF(BL34=0,1,BL34)</f>
        <v>1</v>
      </c>
      <c r="BM24" s="257">
        <f>(BK24/(BL24^2))</f>
        <v>3.5901475997589297E-3</v>
      </c>
      <c r="BO24" s="250" t="s">
        <v>1038</v>
      </c>
      <c r="BP24" s="251">
        <v>2.8069999999999999</v>
      </c>
      <c r="BQ24" s="251">
        <v>2.75</v>
      </c>
      <c r="BR24" s="251">
        <v>1.22</v>
      </c>
      <c r="BS24" s="251">
        <v>0.28299999999999997</v>
      </c>
      <c r="BT24" s="257">
        <v>1</v>
      </c>
      <c r="BU24" s="585">
        <f>((PI()*BR24*BS24/4)*(BP24^2-BQ24^2))*BT24</f>
        <v>8.5891739847545528E-2</v>
      </c>
      <c r="BV24" s="257">
        <f>(((BU24/386.4)*(BP24^2+BQ24^2))/8)</f>
        <v>4.2906272253464558E-4</v>
      </c>
      <c r="BW24" s="257">
        <f>IF(BW34=0,1,BW34)</f>
        <v>1</v>
      </c>
      <c r="BX24" s="257">
        <f>(BV24/(BW24^2))</f>
        <v>4.2906272253464558E-4</v>
      </c>
      <c r="BZ24" s="250" t="s">
        <v>605</v>
      </c>
      <c r="CA24" s="251">
        <v>5.5940000000000003</v>
      </c>
      <c r="CB24" s="251">
        <v>4.88</v>
      </c>
      <c r="CC24" s="251">
        <v>1.28</v>
      </c>
      <c r="CD24" s="251">
        <v>0.28299999999999997</v>
      </c>
      <c r="CE24" s="257">
        <v>1</v>
      </c>
      <c r="CF24" s="585">
        <f>((PI()*CC24*CD24/4)*(CA24^2-CB24^2))*CE24</f>
        <v>2.1276347155895783</v>
      </c>
      <c r="CG24" s="257">
        <f>(((CF24/386.4)*(CA24^2+CB24^2))/8)</f>
        <v>3.7929628750578342E-2</v>
      </c>
      <c r="CH24" s="257" t="e">
        <f ca="1">Ratio</f>
        <v>#N/A</v>
      </c>
      <c r="CI24" s="257" t="e">
        <f ca="1">(CG24/(CH24^2))</f>
        <v>#N/A</v>
      </c>
      <c r="CK24" s="250" t="s">
        <v>1039</v>
      </c>
      <c r="CL24" s="251">
        <v>6</v>
      </c>
      <c r="CM24" s="251">
        <v>1.5</v>
      </c>
      <c r="CN24" s="251">
        <v>0.75</v>
      </c>
      <c r="CO24" s="251">
        <v>0.28299999999999997</v>
      </c>
      <c r="CP24" s="257">
        <v>1</v>
      </c>
      <c r="CQ24" s="585">
        <f>((PI()*CN24*CO24/4)*(CL24^2-CM24^2))*CP24</f>
        <v>5.6261506561124079</v>
      </c>
      <c r="CR24" s="257">
        <f>(((CQ24/386.4)*(CL24^2+CM24^2))/8)</f>
        <v>6.9617062175303973E-2</v>
      </c>
      <c r="CS24" s="257" t="e">
        <f ca="1">Ratio</f>
        <v>#N/A</v>
      </c>
      <c r="CT24" s="257" t="e">
        <f ca="1">(CR24/(CS24^2))</f>
        <v>#N/A</v>
      </c>
      <c r="CV24" s="250">
        <v>-68</v>
      </c>
      <c r="CW24" s="257">
        <v>6.63</v>
      </c>
      <c r="CX24" s="339">
        <v>2</v>
      </c>
      <c r="CY24" s="339">
        <v>1</v>
      </c>
      <c r="CZ24" s="257">
        <v>0.28299999999999997</v>
      </c>
      <c r="DA24" s="257">
        <v>1</v>
      </c>
      <c r="DB24" s="585">
        <f>((PI()*CY24*CZ24/4)*(CW24^2-CX24^2))*DA24</f>
        <v>8.8811274726407046</v>
      </c>
      <c r="DC24" s="257">
        <f>(((DB24/386.4)*(CW24^2+CX24^2))/8)</f>
        <v>0.13778187826497251</v>
      </c>
      <c r="DD24" s="257" t="e">
        <f ca="1">Ratio</f>
        <v>#N/A</v>
      </c>
      <c r="DE24" s="257" t="e">
        <f ca="1">(DC24/(DD24^2))</f>
        <v>#N/A</v>
      </c>
      <c r="DG24" s="250" t="s">
        <v>1040</v>
      </c>
      <c r="DH24" s="339">
        <v>8.19</v>
      </c>
      <c r="DI24" s="339">
        <v>4.4400000000000004</v>
      </c>
      <c r="DJ24" s="339">
        <v>2.5</v>
      </c>
      <c r="DK24" s="254">
        <v>0.28299999999999997</v>
      </c>
      <c r="DL24" s="257">
        <v>1</v>
      </c>
      <c r="DM24" s="585">
        <f>((PI()*DJ24*DK24/4)*(DH24^2-DI24^2))*DL24</f>
        <v>26.317882513592487</v>
      </c>
      <c r="DN24" s="257">
        <f>(((DM24/386.4)*(DH24^2+DI24^2))/8)</f>
        <v>0.73891082039011968</v>
      </c>
      <c r="DO24" s="257" t="e">
        <f ca="1">Ratio</f>
        <v>#N/A</v>
      </c>
      <c r="DP24" s="257" t="e">
        <f ca="1">(DN24/(DO24^2))</f>
        <v>#N/A</v>
      </c>
      <c r="DR24" s="250" t="s">
        <v>1038</v>
      </c>
      <c r="DS24" s="341">
        <v>9.3000000000000007</v>
      </c>
      <c r="DT24" s="341">
        <v>2</v>
      </c>
      <c r="DU24" s="258">
        <v>3.31</v>
      </c>
      <c r="DV24" s="251">
        <v>0.28299999999999997</v>
      </c>
      <c r="DW24" s="257">
        <v>1</v>
      </c>
      <c r="DX24" s="585">
        <f>((PI()*DU24*DV24/4)*(DS24^2-DT24^2))*DW24</f>
        <v>60.688389721725578</v>
      </c>
      <c r="DY24" s="257">
        <f>(((DX24/386.4)*(DS24^2+DT24^2))/8)</f>
        <v>1.776556801863014</v>
      </c>
      <c r="DZ24" s="258" t="e">
        <f ca="1">Ratio</f>
        <v>#N/A</v>
      </c>
      <c r="EA24" s="257" t="e">
        <f ca="1">(DY24/(DZ24^2))</f>
        <v>#N/A</v>
      </c>
      <c r="EC24" s="250" t="s">
        <v>587</v>
      </c>
      <c r="ED24" s="341">
        <v>12.445</v>
      </c>
      <c r="EE24" s="341">
        <v>3.5</v>
      </c>
      <c r="EF24" s="258">
        <v>3.31</v>
      </c>
      <c r="EG24" s="251">
        <v>0.28299999999999997</v>
      </c>
      <c r="EH24" s="257">
        <v>1</v>
      </c>
      <c r="EI24" s="585">
        <f>((PI()*EF24*EG24/4)*(ED24^2-EE24^2))*EH24</f>
        <v>104.93229684131431</v>
      </c>
      <c r="EJ24" s="257">
        <f>(((EI24/386.4)*(ED24^2+EE24^2))/8)</f>
        <v>5.6732426015148167</v>
      </c>
      <c r="EK24" s="258" t="e">
        <f ca="1">Ratio</f>
        <v>#N/A</v>
      </c>
      <c r="EL24" s="257" t="e">
        <f ca="1">(EJ24/(EK24^2))</f>
        <v>#N/A</v>
      </c>
    </row>
    <row r="25" spans="1:142" ht="15.75" x14ac:dyDescent="0.25">
      <c r="A25" s="250"/>
      <c r="B25" s="251"/>
      <c r="C25" s="251"/>
      <c r="D25" s="251"/>
      <c r="E25" s="251"/>
      <c r="F25" s="245"/>
      <c r="G25" s="429"/>
      <c r="H25" s="254"/>
      <c r="I25" s="255"/>
      <c r="J25" s="256"/>
      <c r="L25" s="250"/>
      <c r="M25" s="251"/>
      <c r="N25" s="251"/>
      <c r="O25" s="251"/>
      <c r="P25" s="251"/>
      <c r="Q25" s="245"/>
      <c r="R25" s="429"/>
      <c r="S25" s="254"/>
      <c r="T25" s="255"/>
      <c r="U25" s="256"/>
      <c r="W25" s="250" t="s">
        <v>612</v>
      </c>
      <c r="X25" s="251">
        <v>3.15</v>
      </c>
      <c r="Y25" s="251">
        <v>1.625</v>
      </c>
      <c r="Z25" s="251">
        <v>0.87</v>
      </c>
      <c r="AA25" s="251">
        <v>0.28299999999999997</v>
      </c>
      <c r="AB25" s="257">
        <v>1</v>
      </c>
      <c r="AC25" s="585">
        <f>((PI()*Z25*AA25/4)*(X25^2-Y25^2))*AB25</f>
        <v>1.4081171537308179</v>
      </c>
      <c r="AD25" s="257">
        <f>(((AC25/386.4)*(X25^2+Y25^2))/8)</f>
        <v>5.7228104997944108E-3</v>
      </c>
      <c r="AE25" s="257">
        <f>IF(AE32=0,1,AE32)</f>
        <v>1</v>
      </c>
      <c r="AF25" s="257">
        <f>(AD25/(AE25^2))</f>
        <v>5.7228104997944108E-3</v>
      </c>
      <c r="AH25" s="250" t="s">
        <v>612</v>
      </c>
      <c r="AI25" s="251">
        <v>3.15</v>
      </c>
      <c r="AJ25" s="251">
        <v>1.625</v>
      </c>
      <c r="AK25" s="251">
        <v>0.87</v>
      </c>
      <c r="AL25" s="251">
        <v>0.28299999999999997</v>
      </c>
      <c r="AM25" s="257">
        <v>1</v>
      </c>
      <c r="AN25" s="585">
        <f>((PI()*AK25*AL25/4)*(AI25^2-AJ25^2))*AM25</f>
        <v>1.4081171537308179</v>
      </c>
      <c r="AO25" s="257">
        <f>(((AN25/386.4)*(AI25^2+AJ25^2))/8)</f>
        <v>5.7228104997944108E-3</v>
      </c>
      <c r="AP25" s="257">
        <f>IF(AP32=0,1,AP32)</f>
        <v>1</v>
      </c>
      <c r="AQ25" s="257">
        <f>(AO25/(AP25^2))</f>
        <v>5.7228104997944108E-3</v>
      </c>
      <c r="AS25" s="250" t="s">
        <v>612</v>
      </c>
      <c r="AT25" s="251">
        <v>3.15</v>
      </c>
      <c r="AU25" s="251">
        <v>1.625</v>
      </c>
      <c r="AV25" s="251">
        <v>0.87</v>
      </c>
      <c r="AW25" s="251">
        <v>0.28299999999999997</v>
      </c>
      <c r="AX25" s="257">
        <v>1</v>
      </c>
      <c r="AY25" s="585">
        <f>((PI()*AV25*AW25/4)*(AT25^2-AU25^2))*AX25</f>
        <v>1.4081171537308179</v>
      </c>
      <c r="AZ25" s="257">
        <f>(((AY25/386.4)*(AT25^2+AU25^2))/8)</f>
        <v>5.7228104997944108E-3</v>
      </c>
      <c r="BA25" s="257">
        <f>IF(BA35=0,1,BA35)</f>
        <v>1</v>
      </c>
      <c r="BB25" s="257">
        <f>(AZ25/(BA25^2))</f>
        <v>5.7228104997944108E-3</v>
      </c>
      <c r="BD25" s="250" t="s">
        <v>612</v>
      </c>
      <c r="BE25" s="251">
        <v>2</v>
      </c>
      <c r="BF25" s="251">
        <v>1.871</v>
      </c>
      <c r="BG25" s="251">
        <v>0.68</v>
      </c>
      <c r="BH25" s="251">
        <v>0.28299999999999997</v>
      </c>
      <c r="BI25" s="257">
        <v>1</v>
      </c>
      <c r="BJ25" s="585">
        <f>((PI()*BG25*BH25/4)*(BE25^2-BF25^2))*BI25</f>
        <v>7.547412924563883E-2</v>
      </c>
      <c r="BK25" s="257">
        <f>(((BJ25/386.4)*(BE25^2+BF25^2))/8)</f>
        <v>1.8313417063248503E-4</v>
      </c>
      <c r="BL25" s="257">
        <f>IF(BL35=0,1,BL35)</f>
        <v>1</v>
      </c>
      <c r="BM25" s="257">
        <f>(BK25/(BL25^2))</f>
        <v>1.8313417063248503E-4</v>
      </c>
      <c r="BO25" s="250" t="s">
        <v>612</v>
      </c>
      <c r="BP25" s="251">
        <v>2.75</v>
      </c>
      <c r="BQ25" s="251">
        <v>1.871</v>
      </c>
      <c r="BR25" s="251">
        <v>0.68</v>
      </c>
      <c r="BS25" s="251">
        <v>0.28299999999999997</v>
      </c>
      <c r="BT25" s="257">
        <v>1</v>
      </c>
      <c r="BU25" s="585">
        <f>((PI()*BR25*BS25/4)*(BP25^2-BQ25^2))*BT25</f>
        <v>0.61391758463061896</v>
      </c>
      <c r="BV25" s="257">
        <f>(((BU25/386.4)*(BP25^2+BQ25^2))/8)</f>
        <v>2.1971586442637069E-3</v>
      </c>
      <c r="BW25" s="257">
        <f>IF(BW35=0,1,BW35)</f>
        <v>1</v>
      </c>
      <c r="BX25" s="257">
        <f>(BV25/(BW25^2))</f>
        <v>2.1971586442637069E-3</v>
      </c>
      <c r="BZ25" s="250" t="s">
        <v>1033</v>
      </c>
      <c r="CA25" s="251">
        <v>4.88</v>
      </c>
      <c r="CB25" s="251">
        <v>2.1880000000000002</v>
      </c>
      <c r="CC25" s="251">
        <v>0.42</v>
      </c>
      <c r="CD25" s="251">
        <v>0.28299999999999997</v>
      </c>
      <c r="CE25" s="257">
        <v>1</v>
      </c>
      <c r="CF25" s="585">
        <f>((PI()*CC25*CD25/4)*(CA25^2-CB25^2))*CE25</f>
        <v>1.7762218315567706</v>
      </c>
      <c r="CG25" s="257">
        <f>(((CF25/386.4)*(CA25^2+CB25^2))/8)</f>
        <v>1.6434731532543309E-2</v>
      </c>
      <c r="CH25" s="257" t="e">
        <f ca="1">Ratio</f>
        <v>#N/A</v>
      </c>
      <c r="CI25" s="257" t="e">
        <f ca="1">(CG25/(CH25^2))</f>
        <v>#N/A</v>
      </c>
      <c r="CK25" s="250" t="s">
        <v>614</v>
      </c>
      <c r="CL25" s="251">
        <v>3.8340000000000001</v>
      </c>
      <c r="CM25" s="251">
        <v>1.5</v>
      </c>
      <c r="CN25" s="251">
        <v>1.875</v>
      </c>
      <c r="CO25" s="251">
        <v>0.28299999999999997</v>
      </c>
      <c r="CP25" s="257">
        <v>1</v>
      </c>
      <c r="CQ25" s="585">
        <f>((PI()*CN25*CO25/4)*(CL25^2-CM25^2))*CP25</f>
        <v>5.1883761227931977</v>
      </c>
      <c r="CR25" s="257">
        <f>(((CQ25/386.4)*(CL25^2+CM25^2))/8)</f>
        <v>2.8448716240407027E-2</v>
      </c>
      <c r="CS25" s="257" t="e">
        <f ca="1">Ratio</f>
        <v>#N/A</v>
      </c>
      <c r="CT25" s="257" t="e">
        <f ca="1">(CR25/(CS25^2))</f>
        <v>#N/A</v>
      </c>
      <c r="CV25" s="345"/>
      <c r="CW25" s="257">
        <v>4.4400000000000004</v>
      </c>
      <c r="CX25" s="339">
        <v>2</v>
      </c>
      <c r="CY25" s="339">
        <v>2.75</v>
      </c>
      <c r="CZ25" s="257">
        <v>0.28299999999999997</v>
      </c>
      <c r="DA25" s="257">
        <v>1</v>
      </c>
      <c r="DB25" s="585">
        <f>((PI()*CY25*CZ25/4)*(CW25^2-CX25^2))*DA25</f>
        <v>9.6047199056668369</v>
      </c>
      <c r="DC25" s="257">
        <f>(((DB25/386.4)*(CW25^2+CX25^2))/8)</f>
        <v>7.3680928427478379E-2</v>
      </c>
      <c r="DD25" s="257" t="e">
        <f ca="1">Ratio</f>
        <v>#N/A</v>
      </c>
      <c r="DE25" s="257" t="e">
        <f ca="1">(DC25/(DD25^2))</f>
        <v>#N/A</v>
      </c>
      <c r="DG25" s="250"/>
      <c r="DH25" s="339">
        <v>6.63</v>
      </c>
      <c r="DI25" s="339">
        <v>2</v>
      </c>
      <c r="DJ25" s="339">
        <v>1</v>
      </c>
      <c r="DK25" s="254">
        <v>0.28299999999999997</v>
      </c>
      <c r="DL25" s="257">
        <v>1</v>
      </c>
      <c r="DM25" s="585">
        <f>((PI()*DJ25*DK25/4)*(DH25^2-DI25^2))*DL25</f>
        <v>8.8811274726407046</v>
      </c>
      <c r="DN25" s="257">
        <f>(((DM25/386.4)*(DH25^2+DI25^2))/8)</f>
        <v>0.13778187826497251</v>
      </c>
      <c r="DO25" s="257" t="e">
        <f ca="1">Ratio</f>
        <v>#N/A</v>
      </c>
      <c r="DP25" s="257" t="e">
        <f ca="1">(DN25/(DO25^2))</f>
        <v>#N/A</v>
      </c>
      <c r="DR25" s="250" t="s">
        <v>1041</v>
      </c>
      <c r="DS25" s="258">
        <v>9</v>
      </c>
      <c r="DT25" s="258">
        <v>5.15</v>
      </c>
      <c r="DU25" s="258">
        <v>3.19</v>
      </c>
      <c r="DV25" s="251">
        <v>0.28299999999999997</v>
      </c>
      <c r="DW25" s="257">
        <v>0</v>
      </c>
      <c r="DX25" s="585">
        <f>((PI()*DU25*DV25/4)*(DS25^2-DT25^2))*DW25</f>
        <v>0</v>
      </c>
      <c r="DY25" s="257">
        <f>(((DX25/386.4)*(DS25^2+DT25^2))/8)</f>
        <v>0</v>
      </c>
      <c r="DZ25" s="258" t="e">
        <f ca="1">Ratio</f>
        <v>#N/A</v>
      </c>
      <c r="EA25" s="257" t="e">
        <f ca="1">(DY25/(DZ25^2))</f>
        <v>#N/A</v>
      </c>
      <c r="EC25" s="250" t="s">
        <v>1041</v>
      </c>
      <c r="ED25" s="258">
        <v>10.5</v>
      </c>
      <c r="EE25" s="258">
        <v>5.14</v>
      </c>
      <c r="EF25" s="258">
        <v>3.19</v>
      </c>
      <c r="EG25" s="251">
        <v>0.28299999999999997</v>
      </c>
      <c r="EH25" s="257">
        <v>0</v>
      </c>
      <c r="EI25" s="585">
        <f>((PI()*EF25*EG25/4)*(ED25^2-EE25^2))*EH25</f>
        <v>0</v>
      </c>
      <c r="EJ25" s="257">
        <f>(((EI25/386.4)*(ED25^2+EE25^2))/8)</f>
        <v>0</v>
      </c>
      <c r="EK25" s="258" t="e">
        <f ca="1">Ratio</f>
        <v>#N/A</v>
      </c>
      <c r="EL25" s="257" t="e">
        <f ca="1">(EJ25/(EK25^2))</f>
        <v>#N/A</v>
      </c>
    </row>
    <row r="26" spans="1:142" ht="15.75" x14ac:dyDescent="0.25">
      <c r="A26" s="248"/>
      <c r="B26" s="258"/>
      <c r="C26" s="258"/>
      <c r="D26" s="258"/>
      <c r="E26" s="258"/>
      <c r="F26" s="258"/>
      <c r="G26" s="258"/>
      <c r="H26" s="258"/>
      <c r="I26" s="258"/>
      <c r="J26" s="258"/>
      <c r="L26" s="248"/>
      <c r="M26" s="258"/>
      <c r="N26" s="258"/>
      <c r="O26" s="258"/>
      <c r="P26" s="258"/>
      <c r="Q26" s="258"/>
      <c r="R26" s="258"/>
      <c r="S26" s="258"/>
      <c r="T26" s="258"/>
      <c r="U26" s="258"/>
      <c r="W26" s="250" t="s">
        <v>1042</v>
      </c>
      <c r="X26" s="251">
        <v>2.5</v>
      </c>
      <c r="Y26" s="251">
        <v>0.94399999999999995</v>
      </c>
      <c r="Z26" s="251">
        <v>0.25</v>
      </c>
      <c r="AA26" s="251">
        <v>0.28299999999999997</v>
      </c>
      <c r="AB26" s="257">
        <v>1</v>
      </c>
      <c r="AC26" s="585">
        <f>((PI()*Z26*AA26/4)*(X26^2-Y26^2))*AB26</f>
        <v>0.29777556750239176</v>
      </c>
      <c r="AD26" s="257">
        <f>(((AC26/386.4)*(X26^2+Y26^2))/8)</f>
        <v>6.8790625809127845E-4</v>
      </c>
      <c r="AE26" s="257">
        <f>IF(AE34=0,1,AE34)</f>
        <v>1</v>
      </c>
      <c r="AF26" s="257">
        <f>(AD26/(AE26^2))</f>
        <v>6.8790625809127845E-4</v>
      </c>
      <c r="AH26" s="250" t="s">
        <v>1042</v>
      </c>
      <c r="AI26" s="251">
        <v>2.5</v>
      </c>
      <c r="AJ26" s="251">
        <v>0.94399999999999995</v>
      </c>
      <c r="AK26" s="251">
        <v>0.25</v>
      </c>
      <c r="AL26" s="251">
        <v>0.28299999999999997</v>
      </c>
      <c r="AM26" s="257">
        <v>1</v>
      </c>
      <c r="AN26" s="585">
        <f>((PI()*AK26*AL26/4)*(AI26^2-AJ26^2))*AM26</f>
        <v>0.29777556750239176</v>
      </c>
      <c r="AO26" s="257">
        <f>(((AN26/386.4)*(AI26^2+AJ26^2))/8)</f>
        <v>6.8790625809127845E-4</v>
      </c>
      <c r="AP26" s="257">
        <f>IF(AP34=0,1,AP34)</f>
        <v>1</v>
      </c>
      <c r="AQ26" s="257">
        <f>(AO26/(AP26^2))</f>
        <v>6.8790625809127845E-4</v>
      </c>
      <c r="AS26" s="250"/>
      <c r="AT26" s="251"/>
      <c r="AU26" s="251"/>
      <c r="AV26" s="251"/>
      <c r="AW26" s="251"/>
      <c r="AX26" s="245"/>
      <c r="AY26" s="429"/>
      <c r="AZ26" s="254"/>
      <c r="BA26" s="251"/>
      <c r="BB26" s="256"/>
      <c r="BD26" s="250"/>
      <c r="BE26" s="251"/>
      <c r="BF26" s="251"/>
      <c r="BG26" s="251"/>
      <c r="BH26" s="251"/>
      <c r="BI26" s="245"/>
      <c r="BJ26" s="429"/>
      <c r="BK26" s="254"/>
      <c r="BL26" s="251"/>
      <c r="BM26" s="245"/>
      <c r="BO26" s="250"/>
      <c r="BP26" s="251"/>
      <c r="BQ26" s="251"/>
      <c r="BR26" s="251"/>
      <c r="BS26" s="251"/>
      <c r="BT26" s="245"/>
      <c r="BU26" s="429"/>
      <c r="BV26" s="254"/>
      <c r="BW26" s="245"/>
      <c r="BX26" s="245"/>
      <c r="BZ26" s="250"/>
      <c r="CA26" s="251"/>
      <c r="CB26" s="251"/>
      <c r="CC26" s="251"/>
      <c r="CD26" s="251"/>
      <c r="CE26" s="245"/>
      <c r="CF26" s="429"/>
      <c r="CG26" s="254"/>
      <c r="CH26" s="245"/>
      <c r="CI26" s="245"/>
      <c r="CK26" s="250"/>
      <c r="CL26" s="251"/>
      <c r="CM26" s="251"/>
      <c r="CN26" s="251"/>
      <c r="CO26" s="251"/>
      <c r="CP26" s="245"/>
      <c r="CQ26" s="429"/>
      <c r="CR26" s="254"/>
      <c r="CS26" s="245"/>
      <c r="CT26" s="245"/>
      <c r="CV26" s="345"/>
      <c r="CW26" s="245"/>
      <c r="CX26" s="339"/>
      <c r="CY26" s="339"/>
      <c r="CZ26" s="245"/>
      <c r="DA26" s="245"/>
      <c r="DB26" s="435"/>
      <c r="DC26" s="254"/>
      <c r="DD26" s="255"/>
      <c r="DE26" s="256"/>
      <c r="DG26" s="345"/>
      <c r="DH26" s="339">
        <v>4.4400000000000004</v>
      </c>
      <c r="DI26" s="339">
        <v>2</v>
      </c>
      <c r="DJ26" s="339">
        <v>2.75</v>
      </c>
      <c r="DK26" s="254">
        <v>0.28299999999999997</v>
      </c>
      <c r="DL26" s="257">
        <v>1</v>
      </c>
      <c r="DM26" s="585">
        <f>((PI()*DJ26*DK26/4)*(DH26^2-DI26^2))*DL26</f>
        <v>9.6047199056668369</v>
      </c>
      <c r="DN26" s="257">
        <f>(((DM26/386.4)*(DH26^2+DI26^2))/8)</f>
        <v>7.3680928427478379E-2</v>
      </c>
      <c r="DO26" s="257" t="e">
        <f ca="1">Ratio</f>
        <v>#N/A</v>
      </c>
      <c r="DP26" s="257" t="e">
        <f ca="1">(DN26/(DO26^2))</f>
        <v>#N/A</v>
      </c>
      <c r="DR26" s="250">
        <v>-68</v>
      </c>
      <c r="DS26" s="258">
        <v>7.25</v>
      </c>
      <c r="DT26" s="258">
        <v>2</v>
      </c>
      <c r="DU26" s="258">
        <v>1.1299999999999999</v>
      </c>
      <c r="DV26" s="251">
        <v>0.28299999999999997</v>
      </c>
      <c r="DW26" s="257">
        <v>1</v>
      </c>
      <c r="DX26" s="585">
        <f>((PI()*DU26*DV26/4)*(DS26^2-DT26^2))*DW26</f>
        <v>12.197077870551247</v>
      </c>
      <c r="DY26" s="257">
        <f>(((DX26/386.4)*(DS26^2+DT26^2))/8)</f>
        <v>0.22318103553734955</v>
      </c>
      <c r="DZ26" s="258" t="e">
        <f ca="1">Ratio</f>
        <v>#N/A</v>
      </c>
      <c r="EA26" s="257" t="e">
        <f ca="1">(DY26/(DZ26^2))</f>
        <v>#N/A</v>
      </c>
      <c r="EC26" s="250">
        <v>-68</v>
      </c>
      <c r="ED26" s="258">
        <v>7.25</v>
      </c>
      <c r="EE26" s="258">
        <v>3.5</v>
      </c>
      <c r="EF26" s="258">
        <v>1</v>
      </c>
      <c r="EG26" s="251">
        <v>0.28299999999999997</v>
      </c>
      <c r="EH26" s="257">
        <v>1</v>
      </c>
      <c r="EI26" s="585">
        <f>((PI()*EF26*EG26/4)*(ED26^2-EE26^2))*EH26</f>
        <v>8.960165859734575</v>
      </c>
      <c r="EJ26" s="257">
        <f>(((EI26/386.4)*(ED26^2+EE26^2))/8)</f>
        <v>0.18786579638459083</v>
      </c>
      <c r="EK26" s="258" t="e">
        <f ca="1">Ratio</f>
        <v>#N/A</v>
      </c>
      <c r="EL26" s="257" t="e">
        <f ca="1">(EJ26/(EK26^2))</f>
        <v>#N/A</v>
      </c>
    </row>
    <row r="27" spans="1:142" ht="15.75" x14ac:dyDescent="0.25">
      <c r="A27" s="248"/>
      <c r="B27" s="258"/>
      <c r="C27" s="258"/>
      <c r="D27" s="258"/>
      <c r="E27" s="258"/>
      <c r="F27" s="258"/>
      <c r="G27" s="258"/>
      <c r="H27" s="258"/>
      <c r="I27" s="258"/>
      <c r="J27" s="258"/>
      <c r="L27" s="248"/>
      <c r="M27" s="258"/>
      <c r="N27" s="258"/>
      <c r="O27" s="258"/>
      <c r="P27" s="258"/>
      <c r="Q27" s="258"/>
      <c r="R27" s="258"/>
      <c r="S27" s="258"/>
      <c r="T27" s="258"/>
      <c r="U27" s="258"/>
      <c r="W27" s="250" t="s">
        <v>1043</v>
      </c>
      <c r="X27" s="251">
        <v>1.625</v>
      </c>
      <c r="Y27" s="251">
        <v>0.94399999999999995</v>
      </c>
      <c r="Z27" s="251">
        <v>1</v>
      </c>
      <c r="AA27" s="251">
        <v>0.28299999999999997</v>
      </c>
      <c r="AB27" s="257">
        <v>1</v>
      </c>
      <c r="AC27" s="585">
        <f>((PI()*Z27*AA27/4)*(X27^2-Y27^2))*AB27</f>
        <v>0.38885486163798283</v>
      </c>
      <c r="AD27" s="257">
        <f>(((AC27/386.4)*(X27^2+Y27^2))/8)</f>
        <v>4.4427485604083336E-4</v>
      </c>
      <c r="AE27" s="257">
        <f>IF(AE34=0,1,AE34)</f>
        <v>1</v>
      </c>
      <c r="AF27" s="257">
        <f>(AD27/(AE27^2))</f>
        <v>4.4427485604083336E-4</v>
      </c>
      <c r="AH27" s="250" t="s">
        <v>1043</v>
      </c>
      <c r="AI27" s="251">
        <v>1.625</v>
      </c>
      <c r="AJ27" s="251">
        <v>0.94399999999999995</v>
      </c>
      <c r="AK27" s="251">
        <v>1</v>
      </c>
      <c r="AL27" s="251">
        <v>0.28299999999999997</v>
      </c>
      <c r="AM27" s="257">
        <v>1</v>
      </c>
      <c r="AN27" s="585">
        <f>((PI()*AK27*AL27/4)*(AI27^2-AJ27^2))*AM27</f>
        <v>0.38885486163798283</v>
      </c>
      <c r="AO27" s="257">
        <f>(((AN27/386.4)*(AI27^2+AJ27^2))/8)</f>
        <v>4.4427485604083336E-4</v>
      </c>
      <c r="AP27" s="257">
        <f>IF(AP34=0,1,AP34)</f>
        <v>1</v>
      </c>
      <c r="AQ27" s="257">
        <f>(AO27/(AP27^2))</f>
        <v>4.4427485604083336E-4</v>
      </c>
      <c r="AS27" s="250" t="s">
        <v>597</v>
      </c>
      <c r="AT27" s="251">
        <v>2.5</v>
      </c>
      <c r="AU27" s="251">
        <v>0.94399999999999995</v>
      </c>
      <c r="AV27" s="251">
        <v>0.25</v>
      </c>
      <c r="AW27" s="251">
        <v>0.28299999999999997</v>
      </c>
      <c r="AX27" s="257">
        <v>1</v>
      </c>
      <c r="AY27" s="585">
        <f>((PI()*AV27*AW27/4)*(AT27^2-AU27^2))*AX27</f>
        <v>0.29777556750239176</v>
      </c>
      <c r="AZ27" s="257">
        <f>(((AY27/386.4)*(AT27^2+AU27^2))/8)</f>
        <v>6.8790625809127845E-4</v>
      </c>
      <c r="BA27" s="257">
        <f>IF(BA34=0,1,BA34)</f>
        <v>1</v>
      </c>
      <c r="BB27" s="257">
        <f>(AZ27/(BA27^2))</f>
        <v>6.8790625809127845E-4</v>
      </c>
      <c r="BD27" s="250" t="s">
        <v>597</v>
      </c>
      <c r="BE27" s="251">
        <v>2.6869999999999998</v>
      </c>
      <c r="BF27" s="251">
        <v>1.6539999999999999</v>
      </c>
      <c r="BG27" s="251">
        <v>0.375</v>
      </c>
      <c r="BH27" s="251">
        <v>0.28299999999999997</v>
      </c>
      <c r="BI27" s="257">
        <v>1</v>
      </c>
      <c r="BJ27" s="585">
        <f>((PI()*BG27*BH27/4)*(BE27^2-BF27^2))*BI27</f>
        <v>0.37376419197220784</v>
      </c>
      <c r="BK27" s="257">
        <f>(((BJ27/386.4)*(BE27^2+BF27^2))/8)</f>
        <v>1.2037650619677893E-3</v>
      </c>
      <c r="BL27" s="257">
        <f>IF(BL34=0,1,BL34)</f>
        <v>1</v>
      </c>
      <c r="BM27" s="257">
        <f>(BK27/(BL27^2))</f>
        <v>1.2037650619677893E-3</v>
      </c>
      <c r="BO27" s="250" t="s">
        <v>597</v>
      </c>
      <c r="BP27" s="251">
        <v>2.6869999999999998</v>
      </c>
      <c r="BQ27" s="251">
        <v>1.6539999999999999</v>
      </c>
      <c r="BR27" s="251">
        <v>0.375</v>
      </c>
      <c r="BS27" s="251">
        <v>0.28299999999999997</v>
      </c>
      <c r="BT27" s="257">
        <v>1</v>
      </c>
      <c r="BU27" s="585">
        <f>((PI()*BR27*BS27/4)*(BP27^2-BQ27^2))*BT27</f>
        <v>0.37376419197220784</v>
      </c>
      <c r="BV27" s="257">
        <f>(((BU27/386.4)*(BP27^2+BQ27^2))/8)</f>
        <v>1.2037650619677893E-3</v>
      </c>
      <c r="BW27" s="257">
        <f>IF(BW34=0,1,BW34)</f>
        <v>1</v>
      </c>
      <c r="BX27" s="257">
        <f>(BV27/(BW27^2))</f>
        <v>1.2037650619677893E-3</v>
      </c>
      <c r="BZ27" s="250"/>
      <c r="CA27" s="251"/>
      <c r="CB27" s="251"/>
      <c r="CC27" s="251"/>
      <c r="CD27" s="251"/>
      <c r="CE27" s="257"/>
      <c r="CF27" s="429"/>
      <c r="CG27" s="254"/>
      <c r="CH27" s="255"/>
      <c r="CI27" s="256"/>
      <c r="CK27" s="250" t="s">
        <v>615</v>
      </c>
      <c r="CL27" s="251">
        <v>2.375</v>
      </c>
      <c r="CM27" s="251">
        <v>0.54900000000000004</v>
      </c>
      <c r="CN27" s="251">
        <v>2.375</v>
      </c>
      <c r="CO27" s="251">
        <v>0.28299999999999997</v>
      </c>
      <c r="CP27" s="257">
        <v>1</v>
      </c>
      <c r="CQ27" s="585">
        <f>((PI()*CN27*CO27/4)*(CL27^2-CM27^2))*CP27</f>
        <v>2.8185002153278575</v>
      </c>
      <c r="CR27" s="257">
        <f>(((CQ27/386.4)*(CL27^2+CM27^2))/8)</f>
        <v>5.4178317677548299E-3</v>
      </c>
      <c r="CS27" s="257">
        <f>IF(CS34=0,1,CS34)</f>
        <v>1</v>
      </c>
      <c r="CT27" s="257">
        <f>(CR27/(CS27^2))</f>
        <v>5.4178317677548299E-3</v>
      </c>
      <c r="CV27" s="250" t="s">
        <v>605</v>
      </c>
      <c r="CW27" s="255">
        <v>7.44</v>
      </c>
      <c r="CX27" s="339">
        <v>6.25</v>
      </c>
      <c r="CY27" s="339">
        <v>3.31</v>
      </c>
      <c r="CZ27" s="251">
        <v>0.28299999999999997</v>
      </c>
      <c r="DA27" s="257">
        <v>1</v>
      </c>
      <c r="DB27" s="585">
        <f>((PI()*CY27*CZ27/4)*(CW27^2-CX27^2))*DA27</f>
        <v>11.985460368476225</v>
      </c>
      <c r="DC27" s="257">
        <f>(((DB27/386.4)*(CW27^2+CX27^2))/8)</f>
        <v>0.36607803593946953</v>
      </c>
      <c r="DD27" s="257">
        <f>IF($DD$37=0,1,$DD$37)</f>
        <v>5</v>
      </c>
      <c r="DE27" s="257">
        <f>(DC27/(DD27^2))</f>
        <v>1.4643121437578781E-2</v>
      </c>
      <c r="DG27" s="345"/>
      <c r="DH27" s="339"/>
      <c r="DI27" s="339"/>
      <c r="DJ27" s="339"/>
      <c r="DK27" s="254"/>
      <c r="DL27" s="245"/>
      <c r="DM27" s="435"/>
      <c r="DN27" s="254"/>
      <c r="DO27" s="255"/>
      <c r="DP27" s="256"/>
      <c r="DR27" s="345"/>
      <c r="DS27" s="258">
        <v>5.14</v>
      </c>
      <c r="DT27" s="258">
        <v>2</v>
      </c>
      <c r="DU27" s="258">
        <v>3.5</v>
      </c>
      <c r="DV27" s="251">
        <v>0.28299999999999997</v>
      </c>
      <c r="DW27" s="257">
        <v>1</v>
      </c>
      <c r="DX27" s="585">
        <f>((PI()*DU27*DV27/4)*(DS27^2-DT27^2))*DW27</f>
        <v>17.441033693796424</v>
      </c>
      <c r="DY27" s="257">
        <f>(((DX27/386.4)*(DS27^2+DT27^2))/8)</f>
        <v>0.17163213915366513</v>
      </c>
      <c r="DZ27" s="258" t="e">
        <f ca="1">Ratio</f>
        <v>#N/A</v>
      </c>
      <c r="EA27" s="257" t="e">
        <f ca="1">(DY27/(DZ27^2))</f>
        <v>#N/A</v>
      </c>
      <c r="EC27" s="345"/>
      <c r="ED27" s="258">
        <v>5.14</v>
      </c>
      <c r="EE27" s="258">
        <v>3.5</v>
      </c>
      <c r="EF27" s="258">
        <v>3.5</v>
      </c>
      <c r="EG27" s="251">
        <v>0.28299999999999997</v>
      </c>
      <c r="EH27" s="257">
        <v>1</v>
      </c>
      <c r="EI27" s="585">
        <f>((PI()*EF27*EG27/4)*(ED27^2-EE27^2))*EH27</f>
        <v>11.023054426823752</v>
      </c>
      <c r="EJ27" s="257">
        <f>(((EI27/386.4)*(ED27^2+EE27^2))/8)</f>
        <v>0.13789373235749991</v>
      </c>
      <c r="EK27" s="258" t="e">
        <f ca="1">Ratio</f>
        <v>#N/A</v>
      </c>
      <c r="EL27" s="257" t="e">
        <f ca="1">(EJ27/(EK27^2))</f>
        <v>#N/A</v>
      </c>
    </row>
    <row r="28" spans="1:142" ht="15.75" x14ac:dyDescent="0.25">
      <c r="A28" s="248"/>
      <c r="B28" s="245"/>
      <c r="C28" s="245"/>
      <c r="D28" s="245"/>
      <c r="E28" s="245"/>
      <c r="F28" s="245"/>
      <c r="G28" s="245"/>
      <c r="H28" s="245"/>
      <c r="I28" s="245"/>
      <c r="J28" s="245"/>
      <c r="L28" s="248"/>
      <c r="M28" s="245"/>
      <c r="N28" s="245"/>
      <c r="O28" s="245"/>
      <c r="P28" s="245"/>
      <c r="Q28" s="245"/>
      <c r="R28" s="245"/>
      <c r="S28" s="245"/>
      <c r="T28" s="245"/>
      <c r="U28" s="245"/>
      <c r="W28" s="248"/>
      <c r="X28" s="245"/>
      <c r="Y28" s="245"/>
      <c r="Z28" s="245"/>
      <c r="AA28" s="245"/>
      <c r="AB28" s="245"/>
      <c r="AC28" s="245"/>
      <c r="AD28" s="245"/>
      <c r="AE28" s="245"/>
      <c r="AF28" s="245"/>
      <c r="AH28" s="248"/>
      <c r="AI28" s="245"/>
      <c r="AJ28" s="245"/>
      <c r="AK28" s="245"/>
      <c r="AL28" s="245"/>
      <c r="AM28" s="245"/>
      <c r="AN28" s="245"/>
      <c r="AO28" s="245"/>
      <c r="AP28" s="245"/>
      <c r="AQ28" s="245"/>
      <c r="AS28" s="250" t="s">
        <v>616</v>
      </c>
      <c r="AT28" s="251">
        <v>1.625</v>
      </c>
      <c r="AU28" s="251">
        <v>0.94399999999999995</v>
      </c>
      <c r="AV28" s="251">
        <v>1</v>
      </c>
      <c r="AW28" s="251">
        <v>0.28299999999999997</v>
      </c>
      <c r="AX28" s="257">
        <v>1</v>
      </c>
      <c r="AY28" s="585">
        <f>((PI()*AV28*AW28/4)*(AT28^2-AU28^2))*AX28</f>
        <v>0.38885486163798283</v>
      </c>
      <c r="AZ28" s="257">
        <f>(((AY28/386.4)*(AT28^2+AU28^2))/8)</f>
        <v>4.4427485604083336E-4</v>
      </c>
      <c r="BA28" s="257">
        <f>IF(BA34=0,1,BA34)</f>
        <v>1</v>
      </c>
      <c r="BB28" s="257">
        <f>(AZ28/(BA28^2))</f>
        <v>4.4427485604083336E-4</v>
      </c>
      <c r="BD28" s="250" t="s">
        <v>1044</v>
      </c>
      <c r="BE28" s="251">
        <v>1.6539999999999999</v>
      </c>
      <c r="BF28" s="251">
        <v>1.26</v>
      </c>
      <c r="BG28" s="251">
        <v>0.875</v>
      </c>
      <c r="BH28" s="251">
        <v>0.28299999999999997</v>
      </c>
      <c r="BI28" s="257">
        <v>1</v>
      </c>
      <c r="BJ28" s="585">
        <f>((PI()*BG28*BH28/4)*(BE28^2-BF28^2))*BI28</f>
        <v>0.2232904449721089</v>
      </c>
      <c r="BK28" s="257">
        <f>(((BJ28/386.4)*(BE28^2+BF28^2))/8)</f>
        <v>3.1229139279083786E-4</v>
      </c>
      <c r="BL28" s="257">
        <f>IF(BL34=0,1,BL34)</f>
        <v>1</v>
      </c>
      <c r="BM28" s="257">
        <f>(BK28/(BL28^2))</f>
        <v>3.1229139279083786E-4</v>
      </c>
      <c r="BO28" s="250" t="s">
        <v>1044</v>
      </c>
      <c r="BP28" s="251">
        <v>1.871</v>
      </c>
      <c r="BQ28" s="251">
        <v>1.496</v>
      </c>
      <c r="BR28" s="251">
        <v>0.875</v>
      </c>
      <c r="BS28" s="251">
        <v>0.28299999999999997</v>
      </c>
      <c r="BT28" s="257">
        <v>1</v>
      </c>
      <c r="BU28" s="585">
        <f>((PI()*BR28*BS28/4)*(BP28^2-BQ28^2))*BT28</f>
        <v>0.24556063854428395</v>
      </c>
      <c r="BV28" s="257">
        <f>(((BU28/386.4)*(BP28^2+BQ28^2))/8)</f>
        <v>4.5587094892165662E-4</v>
      </c>
      <c r="BW28" s="257">
        <f>IF(BW34=0,1,BW34)</f>
        <v>1</v>
      </c>
      <c r="BX28" s="257">
        <f>(BV28/(BW28^2))</f>
        <v>4.5587094892165662E-4</v>
      </c>
      <c r="BZ28" s="250"/>
      <c r="CA28" s="251"/>
      <c r="CB28" s="251"/>
      <c r="CC28" s="251"/>
      <c r="CD28" s="251"/>
      <c r="CE28" s="257"/>
      <c r="CF28" s="429"/>
      <c r="CG28" s="254"/>
      <c r="CH28" s="255"/>
      <c r="CI28" s="256"/>
      <c r="CK28" s="250" t="s">
        <v>618</v>
      </c>
      <c r="CL28" s="251">
        <v>2.40625</v>
      </c>
      <c r="CM28" s="251">
        <v>1.5</v>
      </c>
      <c r="CN28" s="251">
        <v>3.125</v>
      </c>
      <c r="CO28" s="251">
        <v>0.28299999999999997</v>
      </c>
      <c r="CP28" s="257">
        <v>1</v>
      </c>
      <c r="CQ28" s="585">
        <f>((PI()*CN28*CO28/4)*(CL28^2-CM28^2))*CP28</f>
        <v>2.4588633449565345</v>
      </c>
      <c r="CR28" s="257">
        <f>(((CQ28/386.4)*(CL28^2+CM28^2))/8)</f>
        <v>6.3953666352225512E-3</v>
      </c>
      <c r="CS28" s="257">
        <f>IF(CS34=0,1,CS34)</f>
        <v>1</v>
      </c>
      <c r="CT28" s="257">
        <f>(CR28/(CS28^2))</f>
        <v>6.3953666352225512E-3</v>
      </c>
      <c r="CV28" s="250" t="s">
        <v>1045</v>
      </c>
      <c r="CW28" s="255">
        <v>6.25</v>
      </c>
      <c r="CX28" s="339">
        <v>3.84</v>
      </c>
      <c r="CY28" s="339">
        <v>1.63</v>
      </c>
      <c r="CZ28" s="251">
        <v>0.28299999999999997</v>
      </c>
      <c r="DA28" s="257">
        <v>1</v>
      </c>
      <c r="DB28" s="585">
        <f>((PI()*CY28*CZ28/4)*(CW28^2-CX28^2))*DA28</f>
        <v>8.809923354472307</v>
      </c>
      <c r="DC28" s="257">
        <f>(((DB28/386.4)*(CW28^2+CX28^2))/8)</f>
        <v>0.15335314339084541</v>
      </c>
      <c r="DD28" s="257">
        <f>IF($DD$37=0,1,$DD$37)</f>
        <v>5</v>
      </c>
      <c r="DE28" s="257">
        <f>(DC28/(DD28^2))</f>
        <v>6.1341257356338167E-3</v>
      </c>
      <c r="DG28" s="250" t="s">
        <v>1038</v>
      </c>
      <c r="DH28" s="339">
        <v>7.44</v>
      </c>
      <c r="DI28" s="339">
        <v>6.25</v>
      </c>
      <c r="DJ28" s="339">
        <v>3.31</v>
      </c>
      <c r="DK28" s="254">
        <v>0.28299999999999997</v>
      </c>
      <c r="DL28" s="257">
        <v>1</v>
      </c>
      <c r="DM28" s="585">
        <f>((PI()*DJ28*DK28/4)*(DH28^2-DI28^2))*DL28</f>
        <v>11.985460368476225</v>
      </c>
      <c r="DN28" s="257">
        <f>(((DM28/386.4)*(DH28^2+DI28^2))/8)</f>
        <v>0.36607803593946953</v>
      </c>
      <c r="DO28" s="257">
        <f>IF(DO37=0,1,DO37)</f>
        <v>5</v>
      </c>
      <c r="DP28" s="257">
        <f>(DN28/(DO28^2))</f>
        <v>1.4643121437578781E-2</v>
      </c>
      <c r="DR28" s="345"/>
      <c r="DS28" s="258"/>
      <c r="DT28" s="258"/>
      <c r="DU28" s="258"/>
      <c r="DV28" s="245"/>
      <c r="DW28" s="245"/>
      <c r="DX28" s="435"/>
      <c r="DY28" s="254"/>
      <c r="DZ28" s="341"/>
      <c r="EA28" s="256"/>
      <c r="EC28" s="345"/>
      <c r="ED28" s="258"/>
      <c r="EE28" s="258"/>
      <c r="EF28" s="258"/>
      <c r="EG28" s="245"/>
      <c r="EH28" s="245"/>
      <c r="EI28" s="435"/>
      <c r="EJ28" s="254"/>
      <c r="EK28" s="341"/>
      <c r="EL28" s="256"/>
    </row>
    <row r="29" spans="1:142" ht="15.75" x14ac:dyDescent="0.25">
      <c r="A29" s="248"/>
      <c r="B29" s="338" t="s">
        <v>619</v>
      </c>
      <c r="C29" s="338" t="s">
        <v>620</v>
      </c>
      <c r="D29" s="338"/>
      <c r="E29" s="338" t="s">
        <v>621</v>
      </c>
      <c r="F29" s="338"/>
      <c r="G29" s="245"/>
      <c r="H29" s="338" t="s">
        <v>576</v>
      </c>
      <c r="I29" s="338" t="s">
        <v>103</v>
      </c>
      <c r="J29" s="338" t="s">
        <v>577</v>
      </c>
      <c r="L29" s="248"/>
      <c r="M29" s="338" t="s">
        <v>619</v>
      </c>
      <c r="N29" s="338" t="s">
        <v>620</v>
      </c>
      <c r="O29" s="338"/>
      <c r="P29" s="338" t="s">
        <v>621</v>
      </c>
      <c r="Q29" s="338"/>
      <c r="R29" s="245"/>
      <c r="S29" s="338" t="s">
        <v>576</v>
      </c>
      <c r="T29" s="338" t="s">
        <v>103</v>
      </c>
      <c r="U29" s="338" t="s">
        <v>577</v>
      </c>
      <c r="W29" s="248"/>
      <c r="X29" s="338" t="s">
        <v>619</v>
      </c>
      <c r="Y29" s="338" t="s">
        <v>620</v>
      </c>
      <c r="Z29" s="338"/>
      <c r="AA29" s="338" t="s">
        <v>621</v>
      </c>
      <c r="AB29" s="338"/>
      <c r="AC29" s="245"/>
      <c r="AD29" s="338" t="s">
        <v>576</v>
      </c>
      <c r="AE29" s="338" t="s">
        <v>103</v>
      </c>
      <c r="AF29" s="338" t="s">
        <v>577</v>
      </c>
      <c r="AH29" s="248"/>
      <c r="AI29" s="338" t="s">
        <v>619</v>
      </c>
      <c r="AJ29" s="338" t="s">
        <v>620</v>
      </c>
      <c r="AK29" s="338"/>
      <c r="AL29" s="338" t="s">
        <v>621</v>
      </c>
      <c r="AM29" s="338"/>
      <c r="AN29" s="245"/>
      <c r="AO29" s="338" t="s">
        <v>576</v>
      </c>
      <c r="AP29" s="338" t="s">
        <v>103</v>
      </c>
      <c r="AQ29" s="338" t="s">
        <v>577</v>
      </c>
      <c r="AS29" s="248"/>
      <c r="AT29" s="258"/>
      <c r="AU29" s="258"/>
      <c r="AV29" s="258"/>
      <c r="AW29" s="258"/>
      <c r="AX29" s="258"/>
      <c r="AY29" s="258"/>
      <c r="AZ29" s="258"/>
      <c r="BA29" s="258"/>
      <c r="BB29" s="258"/>
      <c r="BD29" s="248"/>
      <c r="BE29" s="258"/>
      <c r="BF29" s="258"/>
      <c r="BG29" s="258"/>
      <c r="BH29" s="258"/>
      <c r="BI29" s="258"/>
      <c r="BJ29" s="258"/>
      <c r="BK29" s="258"/>
      <c r="BL29" s="258"/>
      <c r="BM29" s="258"/>
      <c r="BO29" s="248"/>
      <c r="BP29" s="258"/>
      <c r="BQ29" s="258"/>
      <c r="BR29" s="258"/>
      <c r="BS29" s="258"/>
      <c r="BT29" s="258"/>
      <c r="BU29" s="258"/>
      <c r="BV29" s="258"/>
      <c r="BW29" s="258"/>
      <c r="BX29" s="258"/>
      <c r="BZ29" s="248"/>
      <c r="CA29" s="258"/>
      <c r="CB29" s="258"/>
      <c r="CC29" s="258"/>
      <c r="CD29" s="258"/>
      <c r="CE29" s="258"/>
      <c r="CF29" s="258"/>
      <c r="CG29" s="258"/>
      <c r="CH29" s="258"/>
      <c r="CI29" s="258"/>
      <c r="CK29" s="250"/>
      <c r="CL29" s="251"/>
      <c r="CM29" s="251"/>
      <c r="CN29" s="251"/>
      <c r="CO29" s="251"/>
      <c r="CP29" s="245"/>
      <c r="CQ29" s="429"/>
      <c r="CR29" s="254"/>
      <c r="CS29" s="245"/>
      <c r="CT29" s="245"/>
      <c r="CV29" s="250">
        <v>-68</v>
      </c>
      <c r="CW29" s="255">
        <v>6</v>
      </c>
      <c r="CX29" s="339">
        <v>1.97</v>
      </c>
      <c r="CY29" s="339">
        <v>0.88</v>
      </c>
      <c r="CZ29" s="251">
        <v>0.28299999999999997</v>
      </c>
      <c r="DA29" s="257">
        <v>1</v>
      </c>
      <c r="DB29" s="585">
        <f>((PI()*CY29*CZ29/4)*(CW29^2-CX29^2))*DA29</f>
        <v>6.2823533066307657</v>
      </c>
      <c r="DC29" s="257">
        <f>(((DB29/386.4)*(CW29^2+CX29^2))/8)</f>
        <v>8.1051340575314088E-2</v>
      </c>
      <c r="DD29" s="257">
        <f>IF($DD$37=0,1,$DD$37)</f>
        <v>5</v>
      </c>
      <c r="DE29" s="257">
        <f>(DC29/(DD29^2))</f>
        <v>3.2420536230125634E-3</v>
      </c>
      <c r="DG29" s="250" t="s">
        <v>1046</v>
      </c>
      <c r="DH29" s="339">
        <v>6.25</v>
      </c>
      <c r="DI29" s="339">
        <v>3.84</v>
      </c>
      <c r="DJ29" s="339">
        <v>1.63</v>
      </c>
      <c r="DK29" s="254">
        <v>0.28299999999999997</v>
      </c>
      <c r="DL29" s="257">
        <v>1</v>
      </c>
      <c r="DM29" s="585">
        <f>((PI()*DJ29*DK29/4)*(DH29^2-DI29^2))*DL29</f>
        <v>8.809923354472307</v>
      </c>
      <c r="DN29" s="257">
        <f>(((DM29/386.4)*(DH29^2+DI29^2))/8)</f>
        <v>0.15335314339084541</v>
      </c>
      <c r="DO29" s="257">
        <f>IF(DO37=0,1,DO37)</f>
        <v>5</v>
      </c>
      <c r="DP29" s="257">
        <f>(DN29/(DO29^2))</f>
        <v>6.1341257356338167E-3</v>
      </c>
      <c r="DR29" s="250" t="s">
        <v>1038</v>
      </c>
      <c r="DS29" s="341">
        <v>6.67</v>
      </c>
      <c r="DT29" s="341">
        <v>6.25</v>
      </c>
      <c r="DU29" s="258">
        <v>3.31</v>
      </c>
      <c r="DV29" s="251">
        <v>0.28299999999999997</v>
      </c>
      <c r="DW29" s="257">
        <v>1</v>
      </c>
      <c r="DX29" s="585">
        <f>((PI()*DU29*DV29/4)*(DS29^2-DT29^2))*DW29</f>
        <v>3.9922351556063971</v>
      </c>
      <c r="DY29" s="257">
        <f>(((DX29/386.4)*(DS29^2+DT29^2))/8)</f>
        <v>0.10790529127204075</v>
      </c>
      <c r="DZ29" s="258">
        <f>IF(DZ37=0,1,DZ37)</f>
        <v>5</v>
      </c>
      <c r="EA29" s="257">
        <f>(DY29/(DZ29^2))</f>
        <v>4.3162116508816302E-3</v>
      </c>
      <c r="EC29" s="250" t="s">
        <v>605</v>
      </c>
      <c r="ED29" s="341">
        <v>6.31</v>
      </c>
      <c r="EE29" s="341">
        <v>4.3099999999999996</v>
      </c>
      <c r="EF29" s="258">
        <v>3.31</v>
      </c>
      <c r="EG29" s="251">
        <v>0.28299999999999997</v>
      </c>
      <c r="EH29" s="257">
        <v>1</v>
      </c>
      <c r="EI29" s="585">
        <f>((PI()*EF29*EG29/4)*(ED29^2-EE29^2))*EH29</f>
        <v>15.626395898768951</v>
      </c>
      <c r="EJ29" s="257">
        <f>(((EI29/386.4)*(ED29^2+EE29^2))/8)</f>
        <v>0.29517974721794005</v>
      </c>
      <c r="EK29" s="258">
        <f>IF(EK37=0,1,EK37)</f>
        <v>5</v>
      </c>
      <c r="EL29" s="257">
        <f>(EJ29/(EK29^2))</f>
        <v>1.1807189888717602E-2</v>
      </c>
    </row>
    <row r="30" spans="1:142" ht="15.75" x14ac:dyDescent="0.25">
      <c r="A30" s="248"/>
      <c r="B30" s="338"/>
      <c r="C30" s="338"/>
      <c r="D30" s="338"/>
      <c r="E30" s="338"/>
      <c r="F30" s="338"/>
      <c r="G30" s="245"/>
      <c r="H30" s="338"/>
      <c r="I30" s="338"/>
      <c r="J30" s="338"/>
      <c r="L30" s="248"/>
      <c r="M30" s="338"/>
      <c r="N30" s="338"/>
      <c r="O30" s="338"/>
      <c r="P30" s="338"/>
      <c r="Q30" s="338"/>
      <c r="R30" s="245"/>
      <c r="S30" s="338"/>
      <c r="T30" s="338"/>
      <c r="U30" s="338"/>
      <c r="W30" s="248"/>
      <c r="X30" s="338"/>
      <c r="Y30" s="338"/>
      <c r="Z30" s="338"/>
      <c r="AA30" s="338"/>
      <c r="AB30" s="338"/>
      <c r="AC30" s="245"/>
      <c r="AD30" s="338"/>
      <c r="AE30" s="338"/>
      <c r="AF30" s="338"/>
      <c r="AH30" s="248"/>
      <c r="AI30" s="338"/>
      <c r="AJ30" s="338"/>
      <c r="AK30" s="338"/>
      <c r="AL30" s="338"/>
      <c r="AM30" s="338"/>
      <c r="AN30" s="245"/>
      <c r="AO30" s="338"/>
      <c r="AP30" s="338"/>
      <c r="AQ30" s="338"/>
      <c r="AS30" s="248"/>
      <c r="AT30" s="245"/>
      <c r="AU30" s="245"/>
      <c r="AV30" s="245"/>
      <c r="AW30" s="245"/>
      <c r="AX30" s="245"/>
      <c r="AY30" s="245"/>
      <c r="AZ30" s="245"/>
      <c r="BA30" s="245"/>
      <c r="BB30" s="245"/>
      <c r="BD30" s="248"/>
      <c r="BE30" s="245"/>
      <c r="BF30" s="245"/>
      <c r="BG30" s="245"/>
      <c r="BH30" s="245"/>
      <c r="BI30" s="245"/>
      <c r="BJ30" s="245"/>
      <c r="BK30" s="245"/>
      <c r="BL30" s="245"/>
      <c r="BM30" s="245"/>
      <c r="BO30" s="248"/>
      <c r="BP30" s="245"/>
      <c r="BQ30" s="245"/>
      <c r="BR30" s="245"/>
      <c r="BS30" s="245"/>
      <c r="BT30" s="245"/>
      <c r="BU30" s="245"/>
      <c r="BV30" s="245"/>
      <c r="BW30" s="245"/>
      <c r="BX30" s="245"/>
      <c r="BZ30" s="248"/>
      <c r="CA30" s="245"/>
      <c r="CB30" s="245"/>
      <c r="CC30" s="245"/>
      <c r="CD30" s="245"/>
      <c r="CE30" s="245"/>
      <c r="CF30" s="245"/>
      <c r="CG30" s="245"/>
      <c r="CH30" s="245"/>
      <c r="CI30" s="245"/>
      <c r="CK30" s="248"/>
      <c r="CL30" s="245"/>
      <c r="CM30" s="245"/>
      <c r="CN30" s="245"/>
      <c r="CO30" s="245"/>
      <c r="CP30" s="245"/>
      <c r="CQ30" s="245"/>
      <c r="CR30" s="245"/>
      <c r="CS30" s="245"/>
      <c r="CT30" s="245"/>
      <c r="CV30" s="250"/>
      <c r="CW30" s="255">
        <v>3.84</v>
      </c>
      <c r="CX30" s="339">
        <v>1.97</v>
      </c>
      <c r="CY30" s="339">
        <v>1.88</v>
      </c>
      <c r="CZ30" s="251">
        <v>0.28299999999999997</v>
      </c>
      <c r="DA30" s="257">
        <v>1</v>
      </c>
      <c r="DB30" s="585">
        <f>((PI()*CY30*CZ30/4)*(CW30^2-CX30^2))*DA30</f>
        <v>4.5399587311768181</v>
      </c>
      <c r="DC30" s="257">
        <f>(((DB30/386.4)*(CW30^2+CX30^2))/8)</f>
        <v>2.7356218072678896E-2</v>
      </c>
      <c r="DD30" s="257">
        <f>IF($DD$37=0,1,$DD$37)</f>
        <v>5</v>
      </c>
      <c r="DE30" s="257">
        <f>(DC30/(DD30^2))</f>
        <v>1.0942487229071559E-3</v>
      </c>
      <c r="DG30" s="250"/>
      <c r="DH30" s="339">
        <v>6</v>
      </c>
      <c r="DI30" s="339">
        <v>1.97</v>
      </c>
      <c r="DJ30" s="339">
        <v>0.88</v>
      </c>
      <c r="DK30" s="254">
        <v>0.28299999999999997</v>
      </c>
      <c r="DL30" s="257">
        <v>1</v>
      </c>
      <c r="DM30" s="585">
        <f>((PI()*DJ30*DK30/4)*(DH30^2-DI30^2))*DL30</f>
        <v>6.2823533066307657</v>
      </c>
      <c r="DN30" s="257">
        <f>(((DM30/386.4)*(DH30^2+DI30^2))/8)</f>
        <v>8.1051340575314088E-2</v>
      </c>
      <c r="DO30" s="257">
        <f>IF(DO37=0,1,DO37)</f>
        <v>5</v>
      </c>
      <c r="DP30" s="257">
        <f>(DN30/(DO30^2))</f>
        <v>3.2420536230125634E-3</v>
      </c>
      <c r="DR30" s="250" t="s">
        <v>1047</v>
      </c>
      <c r="DS30" s="341">
        <v>6.25</v>
      </c>
      <c r="DT30" s="341">
        <v>3.84</v>
      </c>
      <c r="DU30" s="258">
        <v>1.63</v>
      </c>
      <c r="DV30" s="251">
        <v>0.28299999999999997</v>
      </c>
      <c r="DW30" s="257">
        <v>1</v>
      </c>
      <c r="DX30" s="585">
        <f>((PI()*DU30*DV30/4)*(DS30^2-DT30^2))*DW30</f>
        <v>8.809923354472307</v>
      </c>
      <c r="DY30" s="257">
        <f>(((DX30/386.4)*(DS30^2+DT30^2))/8)</f>
        <v>0.15335314339084541</v>
      </c>
      <c r="DZ30" s="258">
        <f>IF(DZ37=0,1,DZ37)</f>
        <v>5</v>
      </c>
      <c r="EA30" s="257">
        <f>(DY30/(DZ30^2))</f>
        <v>6.1341257356338167E-3</v>
      </c>
      <c r="EC30" s="250" t="s">
        <v>1047</v>
      </c>
      <c r="ED30" s="341">
        <v>4.3099999999999996</v>
      </c>
      <c r="EE30" s="341">
        <v>3.34</v>
      </c>
      <c r="EF30" s="258">
        <v>3.47</v>
      </c>
      <c r="EG30" s="251">
        <v>0.28299999999999997</v>
      </c>
      <c r="EH30" s="257">
        <v>1</v>
      </c>
      <c r="EI30" s="585">
        <f>((PI()*EF30*EG30/4)*(ED30^2-EE30^2))*EH30</f>
        <v>5.7232005046746437</v>
      </c>
      <c r="EJ30" s="257">
        <f>(((EI30/386.4)*(ED30^2+EE30^2))/8)</f>
        <v>5.5046739274338473E-2</v>
      </c>
      <c r="EK30" s="258">
        <f>IF(EK37=0,1,EK37)</f>
        <v>5</v>
      </c>
      <c r="EL30" s="257">
        <f>(EJ30/(EK30^2))</f>
        <v>2.2018695709735388E-3</v>
      </c>
    </row>
    <row r="31" spans="1:142" ht="15.75" x14ac:dyDescent="0.25">
      <c r="A31" s="248"/>
      <c r="B31" s="338"/>
      <c r="C31" s="338"/>
      <c r="D31" s="338"/>
      <c r="E31" s="338"/>
      <c r="F31" s="338"/>
      <c r="G31" s="245"/>
      <c r="H31" s="338"/>
      <c r="I31" s="338"/>
      <c r="J31" s="338"/>
      <c r="L31" s="248"/>
      <c r="M31" s="338"/>
      <c r="N31" s="338"/>
      <c r="O31" s="338"/>
      <c r="P31" s="338"/>
      <c r="Q31" s="338"/>
      <c r="R31" s="245"/>
      <c r="S31" s="338"/>
      <c r="T31" s="338"/>
      <c r="U31" s="338"/>
      <c r="W31" s="248"/>
      <c r="X31" s="338"/>
      <c r="Y31" s="338"/>
      <c r="Z31" s="338"/>
      <c r="AA31" s="338"/>
      <c r="AB31" s="338"/>
      <c r="AC31" s="245"/>
      <c r="AD31" s="338"/>
      <c r="AE31" s="338"/>
      <c r="AF31" s="338"/>
      <c r="AH31" s="248"/>
      <c r="AI31" s="338"/>
      <c r="AJ31" s="338"/>
      <c r="AK31" s="338"/>
      <c r="AL31" s="338"/>
      <c r="AM31" s="338"/>
      <c r="AN31" s="245"/>
      <c r="AO31" s="338"/>
      <c r="AP31" s="338"/>
      <c r="AQ31" s="338"/>
      <c r="AS31" s="248"/>
      <c r="AT31" s="338" t="s">
        <v>619</v>
      </c>
      <c r="AU31" s="338" t="s">
        <v>620</v>
      </c>
      <c r="AV31" s="338"/>
      <c r="AW31" s="338" t="s">
        <v>621</v>
      </c>
      <c r="AX31" s="338"/>
      <c r="AY31" s="245"/>
      <c r="AZ31" s="338" t="s">
        <v>576</v>
      </c>
      <c r="BA31" s="338" t="s">
        <v>103</v>
      </c>
      <c r="BB31" s="338" t="s">
        <v>577</v>
      </c>
      <c r="BD31" s="248"/>
      <c r="BE31" s="338" t="s">
        <v>619</v>
      </c>
      <c r="BF31" s="338" t="s">
        <v>620</v>
      </c>
      <c r="BG31" s="338"/>
      <c r="BH31" s="338" t="s">
        <v>621</v>
      </c>
      <c r="BI31" s="338"/>
      <c r="BJ31" s="245"/>
      <c r="BK31" s="338" t="s">
        <v>576</v>
      </c>
      <c r="BL31" s="338" t="s">
        <v>103</v>
      </c>
      <c r="BM31" s="338" t="s">
        <v>577</v>
      </c>
      <c r="BO31" s="248"/>
      <c r="BP31" s="338" t="s">
        <v>619</v>
      </c>
      <c r="BQ31" s="338" t="s">
        <v>620</v>
      </c>
      <c r="BR31" s="338"/>
      <c r="BS31" s="338" t="s">
        <v>621</v>
      </c>
      <c r="BT31" s="338"/>
      <c r="BU31" s="245"/>
      <c r="BV31" s="338" t="s">
        <v>576</v>
      </c>
      <c r="BW31" s="338" t="s">
        <v>103</v>
      </c>
      <c r="BX31" s="338" t="s">
        <v>577</v>
      </c>
      <c r="BZ31" s="248"/>
      <c r="CA31" s="338" t="s">
        <v>619</v>
      </c>
      <c r="CB31" s="338" t="s">
        <v>620</v>
      </c>
      <c r="CC31" s="338"/>
      <c r="CD31" s="338" t="s">
        <v>621</v>
      </c>
      <c r="CE31" s="338"/>
      <c r="CF31" s="245"/>
      <c r="CG31" s="338" t="s">
        <v>576</v>
      </c>
      <c r="CH31" s="338" t="s">
        <v>103</v>
      </c>
      <c r="CI31" s="338" t="s">
        <v>577</v>
      </c>
      <c r="CK31" s="248"/>
      <c r="CL31" s="338" t="s">
        <v>619</v>
      </c>
      <c r="CM31" s="338" t="s">
        <v>620</v>
      </c>
      <c r="CN31" s="338"/>
      <c r="CO31" s="338" t="s">
        <v>621</v>
      </c>
      <c r="CP31" s="338"/>
      <c r="CQ31" s="245"/>
      <c r="CR31" s="338" t="s">
        <v>576</v>
      </c>
      <c r="CS31" s="338" t="s">
        <v>103</v>
      </c>
      <c r="CT31" s="338" t="s">
        <v>577</v>
      </c>
      <c r="CV31" s="248"/>
      <c r="CW31" s="258"/>
      <c r="CX31" s="258"/>
      <c r="CY31" s="258"/>
      <c r="CZ31" s="258"/>
      <c r="DA31" s="258"/>
      <c r="DB31" s="346"/>
      <c r="DC31" s="258"/>
      <c r="DD31" s="258"/>
      <c r="DE31" s="258"/>
      <c r="DG31" s="250"/>
      <c r="DH31" s="339">
        <v>3.84</v>
      </c>
      <c r="DI31" s="339">
        <v>1.97</v>
      </c>
      <c r="DJ31" s="339">
        <v>1.88</v>
      </c>
      <c r="DK31" s="254">
        <v>0.28299999999999997</v>
      </c>
      <c r="DL31" s="257">
        <v>1</v>
      </c>
      <c r="DM31" s="585">
        <f>((PI()*DJ31*DK31/4)*(DH31^2-DI31^2))*DL31</f>
        <v>4.5399587311768181</v>
      </c>
      <c r="DN31" s="257">
        <f>(((DM31/386.4)*(DH31^2+DI31^2))/8)</f>
        <v>2.7356218072678896E-2</v>
      </c>
      <c r="DO31" s="257">
        <f>IF(DO37=0,1,DO37)</f>
        <v>5</v>
      </c>
      <c r="DP31" s="257">
        <f>(DN31/(DO31^2))</f>
        <v>1.0942487229071559E-3</v>
      </c>
      <c r="DR31" s="250">
        <v>-68</v>
      </c>
      <c r="DS31" s="341">
        <v>6</v>
      </c>
      <c r="DT31" s="341">
        <v>1.97</v>
      </c>
      <c r="DU31" s="258">
        <v>0.88</v>
      </c>
      <c r="DV31" s="251">
        <v>0.28299999999999997</v>
      </c>
      <c r="DW31" s="257">
        <v>1</v>
      </c>
      <c r="DX31" s="585">
        <f>((PI()*DU31*DV31/4)*(DS31^2-DT31^2))*DW31</f>
        <v>6.2823533066307657</v>
      </c>
      <c r="DY31" s="257">
        <f>(((DX31/386.4)*(DS31^2+DT31^2))/8)</f>
        <v>8.1051340575314088E-2</v>
      </c>
      <c r="DZ31" s="258">
        <f>DZ37</f>
        <v>5</v>
      </c>
      <c r="EA31" s="257">
        <f>(DY31/(DZ31^2))</f>
        <v>3.2420536230125634E-3</v>
      </c>
      <c r="EC31" s="250">
        <v>-68</v>
      </c>
      <c r="ED31" s="341"/>
      <c r="EE31" s="341"/>
      <c r="EF31" s="258"/>
      <c r="EG31" s="251"/>
      <c r="EH31" s="245"/>
      <c r="EI31" s="584"/>
      <c r="EJ31" s="348"/>
      <c r="EK31" s="341"/>
      <c r="EL31" s="349"/>
    </row>
    <row r="32" spans="1:142" ht="15.75" x14ac:dyDescent="0.25">
      <c r="A32" s="250" t="s">
        <v>622</v>
      </c>
      <c r="B32" s="245"/>
      <c r="C32" s="245"/>
      <c r="D32" s="245"/>
      <c r="E32" s="257">
        <v>1</v>
      </c>
      <c r="F32" s="257">
        <v>0</v>
      </c>
      <c r="G32" s="245"/>
      <c r="H32" s="257">
        <v>0</v>
      </c>
      <c r="I32" s="257">
        <v>0</v>
      </c>
      <c r="J32" s="257">
        <f>H32*F32</f>
        <v>0</v>
      </c>
      <c r="L32" s="250" t="s">
        <v>622</v>
      </c>
      <c r="M32" s="245"/>
      <c r="N32" s="245"/>
      <c r="O32" s="245"/>
      <c r="P32" s="257">
        <v>1</v>
      </c>
      <c r="Q32" s="257">
        <v>0</v>
      </c>
      <c r="R32" s="245"/>
      <c r="S32" s="257">
        <v>0</v>
      </c>
      <c r="T32" s="257">
        <v>0</v>
      </c>
      <c r="U32" s="257">
        <f>S32*T32</f>
        <v>0</v>
      </c>
      <c r="W32" s="250" t="s">
        <v>622</v>
      </c>
      <c r="X32" s="245"/>
      <c r="Y32" s="245"/>
      <c r="Z32" s="245"/>
      <c r="AA32" s="257">
        <v>1</v>
      </c>
      <c r="AB32" s="257">
        <v>0</v>
      </c>
      <c r="AC32" s="245"/>
      <c r="AD32" s="257">
        <v>0</v>
      </c>
      <c r="AE32" s="257">
        <v>0</v>
      </c>
      <c r="AF32" s="257">
        <f>AD32*AE32</f>
        <v>0</v>
      </c>
      <c r="AH32" s="250" t="s">
        <v>622</v>
      </c>
      <c r="AI32" s="245"/>
      <c r="AJ32" s="245"/>
      <c r="AK32" s="245"/>
      <c r="AL32" s="257">
        <v>1</v>
      </c>
      <c r="AM32" s="257">
        <v>0</v>
      </c>
      <c r="AN32" s="245"/>
      <c r="AO32" s="257">
        <v>0</v>
      </c>
      <c r="AP32" s="257">
        <v>0</v>
      </c>
      <c r="AQ32" s="257">
        <f>AO32*AP32</f>
        <v>0</v>
      </c>
      <c r="AS32" s="248"/>
      <c r="AT32" s="338"/>
      <c r="AU32" s="338"/>
      <c r="AV32" s="338"/>
      <c r="AW32" s="338"/>
      <c r="AX32" s="338"/>
      <c r="AY32" s="245"/>
      <c r="AZ32" s="338"/>
      <c r="BA32" s="338"/>
      <c r="BB32" s="338"/>
      <c r="BD32" s="248"/>
      <c r="BE32" s="338"/>
      <c r="BF32" s="338"/>
      <c r="BG32" s="338"/>
      <c r="BH32" s="338"/>
      <c r="BI32" s="338"/>
      <c r="BJ32" s="245"/>
      <c r="BK32" s="338"/>
      <c r="BL32" s="338"/>
      <c r="BM32" s="338"/>
      <c r="BO32" s="248"/>
      <c r="BP32" s="338"/>
      <c r="BQ32" s="338"/>
      <c r="BR32" s="338"/>
      <c r="BS32" s="338"/>
      <c r="BT32" s="338"/>
      <c r="BU32" s="245"/>
      <c r="BV32" s="338"/>
      <c r="BW32" s="338"/>
      <c r="BX32" s="338"/>
      <c r="BZ32" s="248"/>
      <c r="CA32" s="338"/>
      <c r="CB32" s="338"/>
      <c r="CC32" s="338"/>
      <c r="CD32" s="338"/>
      <c r="CE32" s="338"/>
      <c r="CF32" s="245"/>
      <c r="CG32" s="338"/>
      <c r="CH32" s="338"/>
      <c r="CI32" s="338"/>
      <c r="CK32" s="248"/>
      <c r="CL32" s="338"/>
      <c r="CM32" s="338"/>
      <c r="CN32" s="338"/>
      <c r="CO32" s="338"/>
      <c r="CP32" s="338"/>
      <c r="CQ32" s="245"/>
      <c r="CR32" s="338"/>
      <c r="CS32" s="338"/>
      <c r="CT32" s="338"/>
      <c r="CV32" s="248"/>
      <c r="CW32" s="258"/>
      <c r="CX32" s="258"/>
      <c r="CY32" s="258"/>
      <c r="CZ32" s="258"/>
      <c r="DA32" s="258"/>
      <c r="DB32" s="346"/>
      <c r="DC32" s="258"/>
      <c r="DD32" s="258"/>
      <c r="DE32" s="258"/>
      <c r="DG32" s="248"/>
      <c r="DH32" s="258"/>
      <c r="DI32" s="258"/>
      <c r="DJ32" s="258"/>
      <c r="DK32" s="258"/>
      <c r="DL32" s="258"/>
      <c r="DM32" s="346"/>
      <c r="DN32" s="258"/>
      <c r="DO32" s="258"/>
      <c r="DP32" s="258"/>
      <c r="DR32" s="250"/>
      <c r="DS32" s="341">
        <v>3.84</v>
      </c>
      <c r="DT32" s="341">
        <v>1.97</v>
      </c>
      <c r="DU32" s="258">
        <v>1.88</v>
      </c>
      <c r="DV32" s="251">
        <v>0.28299999999999997</v>
      </c>
      <c r="DW32" s="257">
        <v>1</v>
      </c>
      <c r="DX32" s="585">
        <f>((PI()*DU32*DV32/4)*(DS32^2-DT32^2))*DW32</f>
        <v>4.5399587311768181</v>
      </c>
      <c r="DY32" s="257">
        <f>(((DX32/386.4)*(DS32^2+DT32^2))/8)</f>
        <v>2.7356218072678896E-2</v>
      </c>
      <c r="DZ32" s="258">
        <f>DZ37</f>
        <v>5</v>
      </c>
      <c r="EA32" s="257">
        <f>(DY32/(DZ32^2))</f>
        <v>1.0942487229071559E-3</v>
      </c>
      <c r="EC32" s="250"/>
      <c r="ED32" s="341"/>
      <c r="EE32" s="341"/>
      <c r="EF32" s="258"/>
      <c r="EG32" s="343"/>
      <c r="EH32" s="245"/>
      <c r="EI32" s="584"/>
      <c r="EJ32" s="348"/>
      <c r="EK32" s="341"/>
      <c r="EL32" s="349"/>
    </row>
    <row r="33" spans="1:142" ht="15.75" x14ac:dyDescent="0.25">
      <c r="A33" s="250"/>
      <c r="B33" s="245"/>
      <c r="C33" s="245"/>
      <c r="D33" s="245"/>
      <c r="E33" s="245"/>
      <c r="F33" s="245"/>
      <c r="G33" s="245"/>
      <c r="H33" s="245"/>
      <c r="I33" s="245"/>
      <c r="J33" s="245"/>
      <c r="L33" s="250"/>
      <c r="M33" s="245"/>
      <c r="N33" s="245"/>
      <c r="O33" s="245"/>
      <c r="P33" s="245"/>
      <c r="Q33" s="245"/>
      <c r="R33" s="245"/>
      <c r="S33" s="245"/>
      <c r="T33" s="245"/>
      <c r="U33" s="245"/>
      <c r="W33" s="250"/>
      <c r="X33" s="245"/>
      <c r="Y33" s="245"/>
      <c r="Z33" s="245"/>
      <c r="AA33" s="245"/>
      <c r="AB33" s="245"/>
      <c r="AC33" s="245"/>
      <c r="AD33" s="245"/>
      <c r="AE33" s="245"/>
      <c r="AF33" s="245"/>
      <c r="AH33" s="250"/>
      <c r="AI33" s="245"/>
      <c r="AJ33" s="245"/>
      <c r="AK33" s="245"/>
      <c r="AL33" s="245"/>
      <c r="AM33" s="245"/>
      <c r="AN33" s="245"/>
      <c r="AO33" s="245"/>
      <c r="AP33" s="245"/>
      <c r="AQ33" s="245"/>
      <c r="AS33" s="248"/>
      <c r="AT33" s="338"/>
      <c r="AU33" s="338"/>
      <c r="AV33" s="338"/>
      <c r="AW33" s="338"/>
      <c r="AX33" s="338"/>
      <c r="AY33" s="245"/>
      <c r="AZ33" s="338"/>
      <c r="BA33" s="338"/>
      <c r="BB33" s="338"/>
      <c r="BD33" s="248"/>
      <c r="BE33" s="338"/>
      <c r="BF33" s="338"/>
      <c r="BG33" s="338"/>
      <c r="BH33" s="338"/>
      <c r="BI33" s="338"/>
      <c r="BJ33" s="245"/>
      <c r="BK33" s="338"/>
      <c r="BL33" s="338"/>
      <c r="BM33" s="338"/>
      <c r="BO33" s="248"/>
      <c r="BP33" s="338"/>
      <c r="BQ33" s="338"/>
      <c r="BR33" s="338"/>
      <c r="BS33" s="338"/>
      <c r="BT33" s="338"/>
      <c r="BU33" s="245"/>
      <c r="BV33" s="338"/>
      <c r="BW33" s="338"/>
      <c r="BX33" s="338"/>
      <c r="BZ33" s="248"/>
      <c r="CA33" s="338"/>
      <c r="CB33" s="338"/>
      <c r="CC33" s="338"/>
      <c r="CD33" s="338"/>
      <c r="CE33" s="338"/>
      <c r="CF33" s="245"/>
      <c r="CG33" s="338"/>
      <c r="CH33" s="338"/>
      <c r="CI33" s="338"/>
      <c r="CK33" s="248"/>
      <c r="CL33" s="338"/>
      <c r="CM33" s="338"/>
      <c r="CN33" s="338"/>
      <c r="CO33" s="338"/>
      <c r="CP33" s="338"/>
      <c r="CQ33" s="245"/>
      <c r="CR33" s="338"/>
      <c r="CS33" s="338"/>
      <c r="CT33" s="338"/>
      <c r="CV33" s="248"/>
      <c r="CW33" s="245"/>
      <c r="CX33" s="245"/>
      <c r="CY33" s="245"/>
      <c r="CZ33" s="245"/>
      <c r="DA33" s="245"/>
      <c r="DB33" s="245"/>
      <c r="DC33" s="245"/>
      <c r="DD33" s="245"/>
      <c r="DE33" s="245"/>
      <c r="DG33" s="248"/>
      <c r="DH33" s="258"/>
      <c r="DI33" s="258"/>
      <c r="DJ33" s="258"/>
      <c r="DK33" s="258"/>
      <c r="DL33" s="258"/>
      <c r="DM33" s="346"/>
      <c r="DN33" s="258"/>
      <c r="DO33" s="258"/>
      <c r="DP33" s="258"/>
      <c r="DR33" s="248"/>
      <c r="DS33" s="245"/>
      <c r="DT33" s="245"/>
      <c r="DU33" s="245"/>
      <c r="DV33" s="245"/>
      <c r="DW33" s="245"/>
      <c r="DX33" s="245"/>
      <c r="DY33" s="245"/>
      <c r="DZ33" s="245"/>
      <c r="EA33" s="245"/>
      <c r="EC33" s="248"/>
      <c r="ED33" s="245"/>
      <c r="EE33" s="245"/>
      <c r="EF33" s="245"/>
      <c r="EG33" s="245"/>
      <c r="EH33" s="245"/>
      <c r="EI33" s="245"/>
      <c r="EJ33" s="245"/>
      <c r="EK33" s="245"/>
      <c r="EL33" s="245"/>
    </row>
    <row r="34" spans="1:142" ht="15.75" x14ac:dyDescent="0.25">
      <c r="A34" s="250"/>
      <c r="B34" s="245"/>
      <c r="C34" s="245"/>
      <c r="D34" s="245"/>
      <c r="E34" s="245"/>
      <c r="F34" s="245"/>
      <c r="G34" s="245"/>
      <c r="H34" s="245"/>
      <c r="I34" s="245"/>
      <c r="J34" s="245"/>
      <c r="L34" s="250"/>
      <c r="M34" s="245"/>
      <c r="N34" s="245"/>
      <c r="O34" s="245"/>
      <c r="P34" s="245"/>
      <c r="Q34" s="245"/>
      <c r="R34" s="245"/>
      <c r="S34" s="245"/>
      <c r="T34" s="245"/>
      <c r="U34" s="245"/>
      <c r="W34" s="250"/>
      <c r="X34" s="245"/>
      <c r="Y34" s="245"/>
      <c r="Z34" s="245"/>
      <c r="AA34" s="245"/>
      <c r="AB34" s="245"/>
      <c r="AC34" s="245"/>
      <c r="AD34" s="245"/>
      <c r="AE34" s="245"/>
      <c r="AF34" s="245"/>
      <c r="AH34" s="250"/>
      <c r="AI34" s="245"/>
      <c r="AJ34" s="245"/>
      <c r="AK34" s="245"/>
      <c r="AL34" s="245"/>
      <c r="AM34" s="245"/>
      <c r="AN34" s="245"/>
      <c r="AO34" s="245"/>
      <c r="AP34" s="245"/>
      <c r="AQ34" s="245"/>
      <c r="AS34" s="250" t="s">
        <v>622</v>
      </c>
      <c r="AT34" s="245"/>
      <c r="AU34" s="245"/>
      <c r="AV34" s="245"/>
      <c r="AW34" s="257">
        <v>1</v>
      </c>
      <c r="AX34" s="257">
        <v>0</v>
      </c>
      <c r="AY34" s="245"/>
      <c r="AZ34" s="257">
        <v>0</v>
      </c>
      <c r="BA34" s="257">
        <v>0</v>
      </c>
      <c r="BB34" s="257">
        <f>AZ34*BA34</f>
        <v>0</v>
      </c>
      <c r="BD34" s="250" t="s">
        <v>622</v>
      </c>
      <c r="BE34" s="245"/>
      <c r="BF34" s="245"/>
      <c r="BG34" s="245"/>
      <c r="BH34" s="257">
        <v>1</v>
      </c>
      <c r="BI34" s="257">
        <v>0</v>
      </c>
      <c r="BJ34" s="245"/>
      <c r="BK34" s="257">
        <v>0</v>
      </c>
      <c r="BL34" s="257">
        <v>0</v>
      </c>
      <c r="BM34" s="257">
        <f>BK34*BL34</f>
        <v>0</v>
      </c>
      <c r="BO34" s="250" t="s">
        <v>622</v>
      </c>
      <c r="BP34" s="245"/>
      <c r="BQ34" s="245"/>
      <c r="BR34" s="245"/>
      <c r="BS34" s="257">
        <v>1</v>
      </c>
      <c r="BT34" s="257">
        <v>0</v>
      </c>
      <c r="BU34" s="245"/>
      <c r="BV34" s="257">
        <v>0</v>
      </c>
      <c r="BW34" s="257">
        <v>0</v>
      </c>
      <c r="BX34" s="257">
        <f>BV34*BW34</f>
        <v>0</v>
      </c>
      <c r="BZ34" s="250" t="s">
        <v>622</v>
      </c>
      <c r="CA34" s="245"/>
      <c r="CB34" s="245"/>
      <c r="CC34" s="245"/>
      <c r="CD34" s="257">
        <v>1</v>
      </c>
      <c r="CE34" s="257">
        <v>0</v>
      </c>
      <c r="CF34" s="245"/>
      <c r="CG34" s="257">
        <v>8.0000000000000002E-3</v>
      </c>
      <c r="CH34" s="257" t="e">
        <f ca="1">Ratio</f>
        <v>#N/A</v>
      </c>
      <c r="CI34" s="257" t="e">
        <f ca="1">CG34*CH34</f>
        <v>#N/A</v>
      </c>
      <c r="CK34" s="250" t="s">
        <v>622</v>
      </c>
      <c r="CL34" s="245"/>
      <c r="CM34" s="245"/>
      <c r="CN34" s="245"/>
      <c r="CO34" s="257">
        <v>1</v>
      </c>
      <c r="CP34" s="257">
        <v>0</v>
      </c>
      <c r="CQ34" s="245"/>
      <c r="CR34" s="257">
        <v>0</v>
      </c>
      <c r="CS34" s="257">
        <v>1</v>
      </c>
      <c r="CT34" s="257">
        <f>CR34*CS34</f>
        <v>0</v>
      </c>
      <c r="CV34" s="248"/>
      <c r="CW34" s="338" t="s">
        <v>619</v>
      </c>
      <c r="CX34" s="338" t="s">
        <v>620</v>
      </c>
      <c r="CY34" s="338"/>
      <c r="CZ34" s="338" t="s">
        <v>621</v>
      </c>
      <c r="DA34" s="338" t="s">
        <v>574</v>
      </c>
      <c r="DB34" s="245"/>
      <c r="DC34" s="338" t="s">
        <v>576</v>
      </c>
      <c r="DD34" s="338" t="s">
        <v>103</v>
      </c>
      <c r="DE34" s="338" t="s">
        <v>577</v>
      </c>
      <c r="DG34" s="248"/>
      <c r="DH34" s="338" t="s">
        <v>619</v>
      </c>
      <c r="DI34" s="338" t="s">
        <v>620</v>
      </c>
      <c r="DJ34" s="338"/>
      <c r="DK34" s="338" t="s">
        <v>621</v>
      </c>
      <c r="DL34" s="338" t="s">
        <v>574</v>
      </c>
      <c r="DM34" s="245"/>
      <c r="DN34" s="338" t="s">
        <v>576</v>
      </c>
      <c r="DO34" s="338" t="s">
        <v>103</v>
      </c>
      <c r="DP34" s="338" t="s">
        <v>577</v>
      </c>
      <c r="DR34" s="248"/>
      <c r="DS34" s="338" t="s">
        <v>619</v>
      </c>
      <c r="DT34" s="338" t="s">
        <v>620</v>
      </c>
      <c r="DU34" s="338"/>
      <c r="DV34" s="338" t="s">
        <v>621</v>
      </c>
      <c r="DW34" s="338" t="s">
        <v>574</v>
      </c>
      <c r="DX34" s="245"/>
      <c r="DY34" s="338" t="s">
        <v>576</v>
      </c>
      <c r="DZ34" s="338" t="s">
        <v>103</v>
      </c>
      <c r="EA34" s="338" t="s">
        <v>577</v>
      </c>
      <c r="EC34" s="248"/>
      <c r="ED34" s="338" t="s">
        <v>619</v>
      </c>
      <c r="EE34" s="338" t="s">
        <v>620</v>
      </c>
      <c r="EF34" s="338"/>
      <c r="EG34" s="338" t="s">
        <v>621</v>
      </c>
      <c r="EH34" s="338" t="s">
        <v>574</v>
      </c>
      <c r="EI34" s="245"/>
      <c r="EJ34" s="338" t="s">
        <v>576</v>
      </c>
      <c r="EK34" s="338" t="s">
        <v>103</v>
      </c>
      <c r="EL34" s="338" t="s">
        <v>577</v>
      </c>
    </row>
    <row r="35" spans="1:142" ht="15.75" x14ac:dyDescent="0.25">
      <c r="A35" s="250"/>
      <c r="B35" s="338" t="s">
        <v>114</v>
      </c>
      <c r="C35" s="338" t="s">
        <v>623</v>
      </c>
      <c r="D35" s="338" t="s">
        <v>624</v>
      </c>
      <c r="E35" s="338" t="s">
        <v>625</v>
      </c>
      <c r="F35" s="338" t="s">
        <v>626</v>
      </c>
      <c r="G35" s="338" t="s">
        <v>575</v>
      </c>
      <c r="H35" s="338" t="s">
        <v>576</v>
      </c>
      <c r="I35" s="338" t="s">
        <v>103</v>
      </c>
      <c r="J35" s="338" t="s">
        <v>577</v>
      </c>
      <c r="L35" s="250"/>
      <c r="M35" s="338" t="s">
        <v>114</v>
      </c>
      <c r="N35" s="338" t="s">
        <v>623</v>
      </c>
      <c r="O35" s="338" t="s">
        <v>624</v>
      </c>
      <c r="P35" s="338" t="s">
        <v>625</v>
      </c>
      <c r="Q35" s="338" t="s">
        <v>626</v>
      </c>
      <c r="R35" s="338" t="s">
        <v>575</v>
      </c>
      <c r="S35" s="338" t="s">
        <v>576</v>
      </c>
      <c r="T35" s="338" t="s">
        <v>103</v>
      </c>
      <c r="U35" s="338" t="s">
        <v>577</v>
      </c>
      <c r="W35" s="250"/>
      <c r="X35" s="338" t="s">
        <v>114</v>
      </c>
      <c r="Y35" s="338" t="s">
        <v>623</v>
      </c>
      <c r="Z35" s="338" t="s">
        <v>624</v>
      </c>
      <c r="AA35" s="338" t="s">
        <v>625</v>
      </c>
      <c r="AB35" s="338" t="s">
        <v>627</v>
      </c>
      <c r="AC35" s="338" t="s">
        <v>575</v>
      </c>
      <c r="AD35" s="338" t="s">
        <v>576</v>
      </c>
      <c r="AE35" s="338" t="s">
        <v>103</v>
      </c>
      <c r="AF35" s="338" t="s">
        <v>577</v>
      </c>
      <c r="AH35" s="250"/>
      <c r="AI35" s="338" t="s">
        <v>114</v>
      </c>
      <c r="AJ35" s="338" t="s">
        <v>623</v>
      </c>
      <c r="AK35" s="338" t="s">
        <v>624</v>
      </c>
      <c r="AL35" s="338" t="s">
        <v>625</v>
      </c>
      <c r="AM35" s="338" t="s">
        <v>627</v>
      </c>
      <c r="AN35" s="338" t="s">
        <v>575</v>
      </c>
      <c r="AO35" s="338" t="s">
        <v>576</v>
      </c>
      <c r="AP35" s="338" t="s">
        <v>103</v>
      </c>
      <c r="AQ35" s="338" t="s">
        <v>577</v>
      </c>
      <c r="AS35" s="250"/>
      <c r="AT35" s="245"/>
      <c r="AU35" s="245"/>
      <c r="AV35" s="245"/>
      <c r="AW35" s="245"/>
      <c r="AX35" s="245"/>
      <c r="AY35" s="245"/>
      <c r="AZ35" s="245"/>
      <c r="BA35" s="245"/>
      <c r="BB35" s="245"/>
      <c r="BD35" s="250"/>
      <c r="BE35" s="245"/>
      <c r="BF35" s="245"/>
      <c r="BG35" s="245"/>
      <c r="BH35" s="245"/>
      <c r="BI35" s="245"/>
      <c r="BJ35" s="245"/>
      <c r="BK35" s="245"/>
      <c r="BL35" s="245"/>
      <c r="BM35" s="245"/>
      <c r="BO35" s="250"/>
      <c r="BP35" s="245"/>
      <c r="BQ35" s="245"/>
      <c r="BR35" s="245"/>
      <c r="BS35" s="245"/>
      <c r="BT35" s="245"/>
      <c r="BU35" s="245"/>
      <c r="BV35" s="245"/>
      <c r="BW35" s="245"/>
      <c r="BX35" s="245"/>
      <c r="BZ35" s="250"/>
      <c r="CA35" s="245"/>
      <c r="CB35" s="245"/>
      <c r="CC35" s="245"/>
      <c r="CD35" s="245"/>
      <c r="CE35" s="245"/>
      <c r="CF35" s="245"/>
      <c r="CG35" s="245"/>
      <c r="CH35" s="245"/>
      <c r="CI35" s="245"/>
      <c r="CK35" s="250"/>
      <c r="CL35" s="245"/>
      <c r="CM35" s="245"/>
      <c r="CN35" s="245"/>
      <c r="CO35" s="245"/>
      <c r="CP35" s="245"/>
      <c r="CQ35" s="245"/>
      <c r="CR35" s="245"/>
      <c r="CS35" s="245"/>
      <c r="CT35" s="245"/>
      <c r="CV35" s="248"/>
      <c r="CW35" s="338"/>
      <c r="CX35" s="338"/>
      <c r="CY35" s="338"/>
      <c r="CZ35" s="338"/>
      <c r="DA35" s="338"/>
      <c r="DB35" s="245"/>
      <c r="DC35" s="338"/>
      <c r="DD35" s="338"/>
      <c r="DE35" s="338"/>
      <c r="DG35" s="248"/>
      <c r="DH35" s="338"/>
      <c r="DI35" s="338"/>
      <c r="DJ35" s="338"/>
      <c r="DK35" s="338"/>
      <c r="DL35" s="338"/>
      <c r="DM35" s="245"/>
      <c r="DN35" s="338"/>
      <c r="DO35" s="338"/>
      <c r="DP35" s="338"/>
      <c r="DR35" s="248"/>
      <c r="DS35" s="338"/>
      <c r="DT35" s="338"/>
      <c r="DU35" s="338"/>
      <c r="DV35" s="338"/>
      <c r="DW35" s="338"/>
      <c r="DX35" s="245"/>
      <c r="DY35" s="338"/>
      <c r="DZ35" s="338"/>
      <c r="EA35" s="338"/>
      <c r="EC35" s="248"/>
      <c r="ED35" s="338"/>
      <c r="EE35" s="338"/>
      <c r="EF35" s="338"/>
      <c r="EG35" s="338"/>
      <c r="EH35" s="338"/>
      <c r="EI35" s="245"/>
      <c r="EJ35" s="338"/>
      <c r="EK35" s="338"/>
      <c r="EL35" s="338"/>
    </row>
    <row r="36" spans="1:142" ht="15.75" x14ac:dyDescent="0.25">
      <c r="A36" s="250" t="s">
        <v>628</v>
      </c>
      <c r="B36" s="338">
        <f ca="1">MatWidth</f>
        <v>18</v>
      </c>
      <c r="C36" s="338">
        <f ca="1">MatThickness</f>
        <v>0.25</v>
      </c>
      <c r="D36" s="338">
        <f ca="1">MatLnFLT</f>
        <v>48</v>
      </c>
      <c r="E36" s="338">
        <f ca="1">MatDensity</f>
        <v>0.28299999999999997</v>
      </c>
      <c r="F36" s="338">
        <f ca="1">MatLoop</f>
        <v>565.48667764616278</v>
      </c>
      <c r="G36" s="257">
        <f ca="1">B36*C36*E36*F36</f>
        <v>720.14728398238822</v>
      </c>
      <c r="H36" s="257">
        <f ca="1">((B36*C36*D36*E36)/32.3)*(((B7*0.5)^2)/144)*12</f>
        <v>0.27167835719814243</v>
      </c>
      <c r="I36" s="257" t="e">
        <f ca="1">Ratio</f>
        <v>#N/A</v>
      </c>
      <c r="J36" s="257" t="e">
        <f ca="1">H36/(I36^2)</f>
        <v>#N/A</v>
      </c>
      <c r="L36" s="250" t="s">
        <v>628</v>
      </c>
      <c r="M36" s="338">
        <f ca="1">MatWidth</f>
        <v>18</v>
      </c>
      <c r="N36" s="338">
        <f ca="1">MatThickness</f>
        <v>0.25</v>
      </c>
      <c r="O36" s="338">
        <f ca="1">MatLnFLT</f>
        <v>48</v>
      </c>
      <c r="P36" s="338">
        <f ca="1">MatDensity</f>
        <v>0.28299999999999997</v>
      </c>
      <c r="Q36" s="338">
        <f ca="1">MatLoop</f>
        <v>565.48667764616278</v>
      </c>
      <c r="R36" s="257">
        <f ca="1">M36*N36*P36*Q36</f>
        <v>720.14728398238822</v>
      </c>
      <c r="S36" s="257">
        <f ca="1">((M36*N36*O36*P36)/32.3)*(((M7*0.5)^2)/144)*12</f>
        <v>0.19960042569659442</v>
      </c>
      <c r="T36" s="257" t="e">
        <f ca="1">Ratio</f>
        <v>#N/A</v>
      </c>
      <c r="U36" s="257" t="e">
        <f ca="1">S36/(T36^2)</f>
        <v>#N/A</v>
      </c>
      <c r="W36" s="250" t="s">
        <v>628</v>
      </c>
      <c r="X36" s="338">
        <f ca="1">MatWidth</f>
        <v>18</v>
      </c>
      <c r="Y36" s="338">
        <f ca="1">MatThickness</f>
        <v>0.25</v>
      </c>
      <c r="Z36" s="338">
        <f ca="1">MatLnFLT</f>
        <v>48</v>
      </c>
      <c r="AA36" s="338">
        <f ca="1">MatDensity</f>
        <v>0.28299999999999997</v>
      </c>
      <c r="AB36" s="338">
        <f ca="1">MatLoop</f>
        <v>565.48667764616278</v>
      </c>
      <c r="AC36" s="257">
        <f ca="1">X36*Y36*AA36*AB36</f>
        <v>720.14728398238822</v>
      </c>
      <c r="AD36" s="257">
        <f ca="1">((X36*Y36*Z36*AA36)/32.3)*(((X7*0.5)^2)/144)*12</f>
        <v>0.35484520123839008</v>
      </c>
      <c r="AE36" s="257" t="e">
        <f ca="1">Ratio</f>
        <v>#N/A</v>
      </c>
      <c r="AF36" s="257" t="e">
        <f ca="1">AD36/(AE36^2)</f>
        <v>#N/A</v>
      </c>
      <c r="AH36" s="250" t="s">
        <v>628</v>
      </c>
      <c r="AI36" s="338">
        <f ca="1">MatWidth</f>
        <v>18</v>
      </c>
      <c r="AJ36" s="338">
        <f ca="1">MatThickness</f>
        <v>0.25</v>
      </c>
      <c r="AK36" s="338">
        <f ca="1">MatLnFLT</f>
        <v>48</v>
      </c>
      <c r="AL36" s="338">
        <f ca="1">MatDensity</f>
        <v>0.28299999999999997</v>
      </c>
      <c r="AM36" s="338">
        <f ca="1">MatLoop</f>
        <v>565.48667764616278</v>
      </c>
      <c r="AN36" s="257">
        <f ca="1">AI36*AJ36*AL36*AM36</f>
        <v>720.14728398238822</v>
      </c>
      <c r="AO36" s="257">
        <f ca="1">((AI36*AJ36*AK36*AL36)/32.3)*(((AI7*0.5)^2)/144)*12</f>
        <v>0.35484520123839008</v>
      </c>
      <c r="AP36" s="257" t="e">
        <f ca="1">Ratio</f>
        <v>#N/A</v>
      </c>
      <c r="AQ36" s="257" t="e">
        <f ca="1">AO36/(AP36^2)</f>
        <v>#N/A</v>
      </c>
      <c r="AS36" s="250"/>
      <c r="AT36" s="245"/>
      <c r="AU36" s="245"/>
      <c r="AV36" s="245"/>
      <c r="AW36" s="245"/>
      <c r="AX36" s="245"/>
      <c r="AY36" s="245"/>
      <c r="AZ36" s="245"/>
      <c r="BA36" s="245"/>
      <c r="BB36" s="245"/>
      <c r="BD36" s="250"/>
      <c r="BE36" s="245"/>
      <c r="BF36" s="245"/>
      <c r="BG36" s="245"/>
      <c r="BH36" s="245"/>
      <c r="BI36" s="245"/>
      <c r="BJ36" s="245"/>
      <c r="BK36" s="245"/>
      <c r="BL36" s="245"/>
      <c r="BM36" s="245"/>
      <c r="BO36" s="250"/>
      <c r="BP36" s="245"/>
      <c r="BQ36" s="245"/>
      <c r="BR36" s="245"/>
      <c r="BS36" s="245"/>
      <c r="BT36" s="245"/>
      <c r="BU36" s="245"/>
      <c r="BV36" s="245"/>
      <c r="BW36" s="245"/>
      <c r="BX36" s="245"/>
      <c r="BZ36" s="250"/>
      <c r="CA36" s="245"/>
      <c r="CB36" s="245"/>
      <c r="CC36" s="245"/>
      <c r="CD36" s="245"/>
      <c r="CE36" s="245"/>
      <c r="CF36" s="245"/>
      <c r="CG36" s="245"/>
      <c r="CH36" s="245"/>
      <c r="CI36" s="245"/>
      <c r="CK36" s="250"/>
      <c r="CL36" s="245"/>
      <c r="CM36" s="245"/>
      <c r="CN36" s="245"/>
      <c r="CO36" s="245"/>
      <c r="CP36" s="245"/>
      <c r="CQ36" s="245"/>
      <c r="CR36" s="245"/>
      <c r="CS36" s="245"/>
      <c r="CT36" s="245"/>
      <c r="CV36" s="248"/>
      <c r="CW36" s="338"/>
      <c r="CX36" s="338"/>
      <c r="CY36" s="338"/>
      <c r="CZ36" s="338"/>
      <c r="DA36" s="338"/>
      <c r="DB36" s="245"/>
      <c r="DC36" s="338"/>
      <c r="DD36" s="338"/>
      <c r="DE36" s="338"/>
      <c r="DG36" s="248"/>
      <c r="DH36" s="338"/>
      <c r="DI36" s="338"/>
      <c r="DJ36" s="338"/>
      <c r="DK36" s="338"/>
      <c r="DL36" s="338"/>
      <c r="DM36" s="245"/>
      <c r="DN36" s="338"/>
      <c r="DO36" s="338"/>
      <c r="DP36" s="338"/>
      <c r="DR36" s="248"/>
      <c r="DS36" s="338"/>
      <c r="DT36" s="338"/>
      <c r="DU36" s="338"/>
      <c r="DV36" s="338"/>
      <c r="DW36" s="338"/>
      <c r="DX36" s="245"/>
      <c r="DY36" s="338"/>
      <c r="DZ36" s="338"/>
      <c r="EA36" s="338"/>
      <c r="EC36" s="248"/>
      <c r="ED36" s="338"/>
      <c r="EE36" s="338"/>
      <c r="EF36" s="338"/>
      <c r="EG36" s="338"/>
      <c r="EH36" s="338"/>
      <c r="EI36" s="245"/>
      <c r="EJ36" s="338"/>
      <c r="EK36" s="338"/>
      <c r="EL36" s="338"/>
    </row>
    <row r="37" spans="1:142" ht="15.75" x14ac:dyDescent="0.25">
      <c r="A37" s="250"/>
      <c r="B37" s="261"/>
      <c r="C37" s="245"/>
      <c r="D37" s="245"/>
      <c r="E37" s="245"/>
      <c r="F37" s="245"/>
      <c r="G37" s="245"/>
      <c r="H37" s="245"/>
      <c r="I37" s="245"/>
      <c r="J37" s="245"/>
      <c r="L37" s="250"/>
      <c r="M37" s="261"/>
      <c r="N37" s="245"/>
      <c r="O37" s="245"/>
      <c r="P37" s="245"/>
      <c r="Q37" s="245"/>
      <c r="R37" s="245"/>
      <c r="S37" s="245"/>
      <c r="T37" s="245"/>
      <c r="U37" s="245"/>
      <c r="W37" s="250"/>
      <c r="X37" s="261"/>
      <c r="Y37" s="245"/>
      <c r="Z37" s="245"/>
      <c r="AA37" s="245"/>
      <c r="AB37" s="245"/>
      <c r="AC37" s="245"/>
      <c r="AD37" s="245"/>
      <c r="AE37" s="245"/>
      <c r="AF37" s="245"/>
      <c r="AH37" s="250"/>
      <c r="AI37" s="261"/>
      <c r="AJ37" s="245"/>
      <c r="AK37" s="245"/>
      <c r="AL37" s="245"/>
      <c r="AM37" s="245"/>
      <c r="AN37" s="245"/>
      <c r="AO37" s="245"/>
      <c r="AP37" s="245"/>
      <c r="AQ37" s="245"/>
      <c r="AS37" s="250"/>
      <c r="AT37" s="338" t="s">
        <v>114</v>
      </c>
      <c r="AU37" s="338" t="s">
        <v>623</v>
      </c>
      <c r="AV37" s="338" t="s">
        <v>624</v>
      </c>
      <c r="AW37" s="338" t="s">
        <v>625</v>
      </c>
      <c r="AX37" s="338" t="s">
        <v>626</v>
      </c>
      <c r="AY37" s="338" t="s">
        <v>575</v>
      </c>
      <c r="AZ37" s="338" t="s">
        <v>576</v>
      </c>
      <c r="BA37" s="338" t="s">
        <v>103</v>
      </c>
      <c r="BB37" s="338" t="s">
        <v>577</v>
      </c>
      <c r="BD37" s="250"/>
      <c r="BE37" s="338" t="s">
        <v>114</v>
      </c>
      <c r="BF37" s="338" t="s">
        <v>623</v>
      </c>
      <c r="BG37" s="338" t="s">
        <v>624</v>
      </c>
      <c r="BH37" s="338" t="s">
        <v>625</v>
      </c>
      <c r="BI37" s="338" t="s">
        <v>626</v>
      </c>
      <c r="BJ37" s="338" t="s">
        <v>575</v>
      </c>
      <c r="BK37" s="338" t="s">
        <v>576</v>
      </c>
      <c r="BL37" s="338" t="s">
        <v>103</v>
      </c>
      <c r="BM37" s="338" t="s">
        <v>577</v>
      </c>
      <c r="BO37" s="250"/>
      <c r="BP37" s="338" t="s">
        <v>114</v>
      </c>
      <c r="BQ37" s="338" t="s">
        <v>623</v>
      </c>
      <c r="BR37" s="338" t="s">
        <v>624</v>
      </c>
      <c r="BS37" s="338" t="s">
        <v>625</v>
      </c>
      <c r="BT37" s="338" t="s">
        <v>626</v>
      </c>
      <c r="BU37" s="338" t="s">
        <v>575</v>
      </c>
      <c r="BV37" s="338" t="s">
        <v>576</v>
      </c>
      <c r="BW37" s="338" t="s">
        <v>103</v>
      </c>
      <c r="BX37" s="338" t="s">
        <v>577</v>
      </c>
      <c r="BZ37" s="250"/>
      <c r="CA37" s="338" t="s">
        <v>114</v>
      </c>
      <c r="CB37" s="338" t="s">
        <v>623</v>
      </c>
      <c r="CC37" s="338" t="s">
        <v>624</v>
      </c>
      <c r="CD37" s="338" t="s">
        <v>625</v>
      </c>
      <c r="CE37" s="338" t="s">
        <v>626</v>
      </c>
      <c r="CF37" s="338" t="s">
        <v>575</v>
      </c>
      <c r="CG37" s="338" t="s">
        <v>576</v>
      </c>
      <c r="CH37" s="338" t="s">
        <v>103</v>
      </c>
      <c r="CI37" s="338" t="s">
        <v>577</v>
      </c>
      <c r="CK37" s="250"/>
      <c r="CL37" s="338" t="s">
        <v>114</v>
      </c>
      <c r="CM37" s="338" t="s">
        <v>623</v>
      </c>
      <c r="CN37" s="338" t="s">
        <v>624</v>
      </c>
      <c r="CO37" s="338" t="s">
        <v>625</v>
      </c>
      <c r="CP37" s="338" t="s">
        <v>626</v>
      </c>
      <c r="CQ37" s="338" t="s">
        <v>575</v>
      </c>
      <c r="CR37" s="338" t="s">
        <v>576</v>
      </c>
      <c r="CS37" s="338" t="s">
        <v>103</v>
      </c>
      <c r="CT37" s="338" t="s">
        <v>577</v>
      </c>
      <c r="CV37" s="250" t="s">
        <v>622</v>
      </c>
      <c r="CW37" s="1037" t="s">
        <v>1048</v>
      </c>
      <c r="CX37" s="1037"/>
      <c r="CY37" s="1038"/>
      <c r="CZ37" s="257">
        <v>0.97</v>
      </c>
      <c r="DA37" s="257">
        <v>1</v>
      </c>
      <c r="DB37" s="245"/>
      <c r="DC37" s="257">
        <v>1.2E-2</v>
      </c>
      <c r="DD37" s="257">
        <v>5</v>
      </c>
      <c r="DE37" s="257">
        <f>DC37*DA37</f>
        <v>1.2E-2</v>
      </c>
      <c r="DG37" s="250" t="s">
        <v>622</v>
      </c>
      <c r="DH37" s="1037" t="s">
        <v>1049</v>
      </c>
      <c r="DI37" s="1037"/>
      <c r="DJ37" s="1038"/>
      <c r="DK37" s="257">
        <v>0.97</v>
      </c>
      <c r="DL37" s="257">
        <v>1</v>
      </c>
      <c r="DM37" s="245"/>
      <c r="DN37" s="257">
        <v>2.1000000000000001E-2</v>
      </c>
      <c r="DO37" s="257">
        <v>5</v>
      </c>
      <c r="DP37" s="257">
        <f>DN37*DL37</f>
        <v>2.1000000000000001E-2</v>
      </c>
      <c r="DR37" s="250" t="s">
        <v>622</v>
      </c>
      <c r="DS37" s="1037" t="s">
        <v>1050</v>
      </c>
      <c r="DT37" s="1037"/>
      <c r="DU37" s="1038"/>
      <c r="DV37" s="257">
        <v>0.97</v>
      </c>
      <c r="DW37" s="257">
        <v>1</v>
      </c>
      <c r="DX37" s="245"/>
      <c r="DY37" s="257">
        <v>5.6000000000000001E-2</v>
      </c>
      <c r="DZ37" s="257">
        <v>5</v>
      </c>
      <c r="EA37" s="257">
        <f>DY37*DW37</f>
        <v>5.6000000000000001E-2</v>
      </c>
      <c r="EC37" s="250" t="s">
        <v>622</v>
      </c>
      <c r="ED37" s="1037" t="s">
        <v>1050</v>
      </c>
      <c r="EE37" s="1037"/>
      <c r="EF37" s="1038"/>
      <c r="EG37" s="257">
        <v>0.97</v>
      </c>
      <c r="EH37" s="257">
        <v>1</v>
      </c>
      <c r="EI37" s="245"/>
      <c r="EJ37" s="257">
        <v>5.6000000000000001E-2</v>
      </c>
      <c r="EK37" s="257">
        <v>5</v>
      </c>
      <c r="EL37" s="257">
        <f>EJ37*EH37</f>
        <v>5.6000000000000001E-2</v>
      </c>
    </row>
    <row r="38" spans="1:142" ht="15.75" x14ac:dyDescent="0.25">
      <c r="A38" s="250"/>
      <c r="B38" s="261"/>
      <c r="C38" s="245"/>
      <c r="D38" s="245"/>
      <c r="E38" s="245"/>
      <c r="F38" s="245"/>
      <c r="G38" s="245"/>
      <c r="H38" s="245"/>
      <c r="I38" s="245"/>
      <c r="J38" s="245"/>
      <c r="L38" s="250"/>
      <c r="M38" s="261"/>
      <c r="N38" s="245"/>
      <c r="O38" s="245"/>
      <c r="P38" s="245"/>
      <c r="Q38" s="245"/>
      <c r="R38" s="245"/>
      <c r="S38" s="245"/>
      <c r="T38" s="245"/>
      <c r="U38" s="245"/>
      <c r="W38" s="250"/>
      <c r="X38" s="261"/>
      <c r="Y38" s="245"/>
      <c r="Z38" s="245"/>
      <c r="AA38" s="245"/>
      <c r="AB38" s="245"/>
      <c r="AC38" s="245"/>
      <c r="AD38" s="245"/>
      <c r="AE38" s="245"/>
      <c r="AF38" s="245"/>
      <c r="AH38" s="250"/>
      <c r="AI38" s="261"/>
      <c r="AJ38" s="245"/>
      <c r="AK38" s="245"/>
      <c r="AL38" s="245"/>
      <c r="AM38" s="245"/>
      <c r="AN38" s="245"/>
      <c r="AO38" s="245"/>
      <c r="AP38" s="245"/>
      <c r="AQ38" s="245"/>
      <c r="AS38" s="250" t="s">
        <v>628</v>
      </c>
      <c r="AT38" s="338">
        <f ca="1">MatWidth</f>
        <v>18</v>
      </c>
      <c r="AU38" s="338">
        <f ca="1">MatThickness</f>
        <v>0.25</v>
      </c>
      <c r="AV38" s="338">
        <f ca="1">MatLnFLT</f>
        <v>48</v>
      </c>
      <c r="AW38" s="338">
        <f ca="1">MatDensity</f>
        <v>0.28299999999999997</v>
      </c>
      <c r="AX38" s="338">
        <f ca="1">MatLoop</f>
        <v>565.48667764616278</v>
      </c>
      <c r="AY38" s="257">
        <f ca="1">AT38*AU38*AW38*AX38</f>
        <v>720.14728398238822</v>
      </c>
      <c r="AZ38" s="257">
        <f ca="1">((AT38*AU38*AV38*AW38)/32.3)*(((AT7*0.5)^2)/144)*12</f>
        <v>0.35484520123839008</v>
      </c>
      <c r="BA38" s="257" t="e">
        <f ca="1">Ratio</f>
        <v>#N/A</v>
      </c>
      <c r="BB38" s="257" t="e">
        <f ca="1">AZ38/(BA38^2)</f>
        <v>#N/A</v>
      </c>
      <c r="BD38" s="250" t="s">
        <v>628</v>
      </c>
      <c r="BE38" s="338">
        <f ca="1">MatWidth</f>
        <v>18</v>
      </c>
      <c r="BF38" s="338">
        <f ca="1">MatThickness</f>
        <v>0.25</v>
      </c>
      <c r="BG38" s="338">
        <f ca="1">MatLnFLT</f>
        <v>48</v>
      </c>
      <c r="BH38" s="338">
        <f ca="1">MatDensity</f>
        <v>0.28299999999999997</v>
      </c>
      <c r="BI38" s="338">
        <f ca="1">MatLoop</f>
        <v>565.48667764616278</v>
      </c>
      <c r="BJ38" s="257">
        <f ca="1">BE38*BF38*BH38*BI38</f>
        <v>720.14728398238822</v>
      </c>
      <c r="BK38" s="257">
        <f ca="1">((BE38*BF38*BG38*BH38)/32.3)*(((BE7*0.5)^2)/144)*12</f>
        <v>0.63083591331269351</v>
      </c>
      <c r="BL38" s="257" t="e">
        <f ca="1">Ratio</f>
        <v>#N/A</v>
      </c>
      <c r="BM38" s="257" t="e">
        <f ca="1">BK38/(BL38^2)</f>
        <v>#N/A</v>
      </c>
      <c r="BO38" s="250" t="s">
        <v>628</v>
      </c>
      <c r="BP38" s="338">
        <f ca="1">MatWidth</f>
        <v>18</v>
      </c>
      <c r="BQ38" s="338">
        <f ca="1">MatThickness</f>
        <v>0.25</v>
      </c>
      <c r="BR38" s="338">
        <f ca="1">MatLnFLT</f>
        <v>48</v>
      </c>
      <c r="BS38" s="338">
        <f ca="1">MatDensity</f>
        <v>0.28299999999999997</v>
      </c>
      <c r="BT38" s="338">
        <f ca="1">MatLoop</f>
        <v>565.48667764616278</v>
      </c>
      <c r="BU38" s="257">
        <f ca="1">BP38*BQ38*BS38*BT38</f>
        <v>720.14728398238822</v>
      </c>
      <c r="BV38" s="257">
        <f ca="1">((BP38*BQ38*BR38*BS38)/32.3)*(((BP7*0.5)^2)/144)*12</f>
        <v>0.63083591331269351</v>
      </c>
      <c r="BW38" s="257" t="e">
        <f ca="1">Ratio</f>
        <v>#N/A</v>
      </c>
      <c r="BX38" s="257" t="e">
        <f ca="1">BV38/(BW38^2)</f>
        <v>#N/A</v>
      </c>
      <c r="BZ38" s="250" t="s">
        <v>628</v>
      </c>
      <c r="CA38" s="338">
        <f ca="1">MatWidth</f>
        <v>18</v>
      </c>
      <c r="CB38" s="338">
        <f ca="1">MatThickness</f>
        <v>0.25</v>
      </c>
      <c r="CC38" s="338">
        <f ca="1">MatLnFLT</f>
        <v>48</v>
      </c>
      <c r="CD38" s="338">
        <f ca="1">MatDensity</f>
        <v>0.28299999999999997</v>
      </c>
      <c r="CE38" s="338">
        <f ca="1">MatLoop</f>
        <v>565.48667764616278</v>
      </c>
      <c r="CF38" s="257">
        <f ca="1">CA38*CB38*CD38*CE38</f>
        <v>720.14728398238822</v>
      </c>
      <c r="CG38" s="257">
        <f ca="1">((CA38*CB38*CC38*CD38)/32.3)*(((CA7*0.5)^2)/144)*12</f>
        <v>0.79840170278637768</v>
      </c>
      <c r="CH38" s="257" t="e">
        <f ca="1">Ratio</f>
        <v>#N/A</v>
      </c>
      <c r="CI38" s="257" t="e">
        <f ca="1">CG38/(CH38^2)</f>
        <v>#N/A</v>
      </c>
      <c r="CK38" s="250" t="s">
        <v>628</v>
      </c>
      <c r="CL38" s="338">
        <f ca="1">MatWidth</f>
        <v>18</v>
      </c>
      <c r="CM38" s="338">
        <f ca="1">MatThickness</f>
        <v>0.25</v>
      </c>
      <c r="CN38" s="338">
        <f ca="1">MatLnFLT</f>
        <v>48</v>
      </c>
      <c r="CO38" s="338">
        <f ca="1">MatDensity</f>
        <v>0.28299999999999997</v>
      </c>
      <c r="CP38" s="338">
        <f ca="1">MatLoop</f>
        <v>565.48667764616278</v>
      </c>
      <c r="CQ38" s="257">
        <f ca="1">CL38*CM38*CO38*CP38</f>
        <v>720.14728398238822</v>
      </c>
      <c r="CR38" s="257">
        <f ca="1">((CL38*CM38*CN38*CO38)/32.3)*(((CL7*0.5)^2)/144)*12</f>
        <v>0.98568111455108365</v>
      </c>
      <c r="CS38" s="257" t="e">
        <f ca="1">Ratio</f>
        <v>#N/A</v>
      </c>
      <c r="CT38" s="257" t="e">
        <f ca="1">CR38/(CS38^2)</f>
        <v>#N/A</v>
      </c>
      <c r="CV38" s="250"/>
      <c r="CW38" s="245"/>
      <c r="CX38" s="245"/>
      <c r="CY38" s="257"/>
      <c r="CZ38" s="245"/>
      <c r="DA38" s="245"/>
      <c r="DB38" s="245"/>
      <c r="DC38" s="245"/>
      <c r="DD38" s="245"/>
      <c r="DE38" s="245"/>
      <c r="DG38" s="250"/>
      <c r="DH38" s="245"/>
      <c r="DI38" s="245"/>
      <c r="DJ38" s="257"/>
      <c r="DK38" s="245"/>
      <c r="DL38" s="245"/>
      <c r="DM38" s="245"/>
      <c r="DN38" s="245"/>
      <c r="DO38" s="245"/>
      <c r="DP38" s="245"/>
      <c r="DR38" s="250"/>
      <c r="DS38" s="245"/>
      <c r="DT38" s="245"/>
      <c r="DU38" s="257"/>
      <c r="DV38" s="245"/>
      <c r="DW38" s="245"/>
      <c r="DX38" s="245"/>
      <c r="DY38" s="245"/>
      <c r="DZ38" s="245"/>
      <c r="EA38" s="245"/>
      <c r="EC38" s="250"/>
      <c r="ED38" s="245"/>
      <c r="EE38" s="245"/>
      <c r="EF38" s="257"/>
      <c r="EG38" s="245"/>
      <c r="EH38" s="245"/>
      <c r="EI38" s="245"/>
      <c r="EJ38" s="245"/>
      <c r="EK38" s="245"/>
      <c r="EL38" s="245"/>
    </row>
    <row r="39" spans="1:142" ht="15.75" x14ac:dyDescent="0.25">
      <c r="A39" s="250"/>
      <c r="B39" s="245"/>
      <c r="C39" s="245"/>
      <c r="D39" s="245"/>
      <c r="E39" s="245"/>
      <c r="F39" s="245"/>
      <c r="G39" s="245"/>
      <c r="H39" s="245"/>
      <c r="I39" s="245"/>
      <c r="J39" s="245"/>
      <c r="L39" s="250"/>
      <c r="M39" s="245"/>
      <c r="N39" s="245"/>
      <c r="O39" s="245"/>
      <c r="P39" s="245"/>
      <c r="Q39" s="245"/>
      <c r="R39" s="245"/>
      <c r="S39" s="245"/>
      <c r="T39" s="245"/>
      <c r="U39" s="245"/>
      <c r="W39" s="250"/>
      <c r="X39" s="245"/>
      <c r="Y39" s="245"/>
      <c r="Z39" s="245"/>
      <c r="AA39" s="245"/>
      <c r="AB39" s="245"/>
      <c r="AC39" s="245"/>
      <c r="AD39" s="245"/>
      <c r="AE39" s="245"/>
      <c r="AF39" s="245"/>
      <c r="AH39" s="250"/>
      <c r="AI39" s="245"/>
      <c r="AJ39" s="245"/>
      <c r="AK39" s="245"/>
      <c r="AL39" s="245"/>
      <c r="AM39" s="245"/>
      <c r="AN39" s="245"/>
      <c r="AO39" s="245"/>
      <c r="AP39" s="245"/>
      <c r="AQ39" s="245"/>
      <c r="AS39" s="250"/>
      <c r="AT39" s="261"/>
      <c r="AU39" s="245"/>
      <c r="AV39" s="245"/>
      <c r="AW39" s="245"/>
      <c r="AX39" s="245"/>
      <c r="AY39" s="245"/>
      <c r="AZ39" s="245"/>
      <c r="BA39" s="245"/>
      <c r="BB39" s="245"/>
      <c r="BD39" s="250"/>
      <c r="BE39" s="261"/>
      <c r="BF39" s="245"/>
      <c r="BG39" s="245"/>
      <c r="BH39" s="245"/>
      <c r="BI39" s="245"/>
      <c r="BJ39" s="245"/>
      <c r="BK39" s="245"/>
      <c r="BL39" s="245"/>
      <c r="BM39" s="245"/>
      <c r="BO39" s="250"/>
      <c r="BP39" s="261"/>
      <c r="BQ39" s="245"/>
      <c r="BR39" s="245"/>
      <c r="BS39" s="245"/>
      <c r="BT39" s="245"/>
      <c r="BU39" s="245"/>
      <c r="BV39" s="245"/>
      <c r="BW39" s="245"/>
      <c r="BX39" s="245"/>
      <c r="BZ39" s="250"/>
      <c r="CA39" s="261"/>
      <c r="CB39" s="245"/>
      <c r="CC39" s="245"/>
      <c r="CD39" s="245"/>
      <c r="CE39" s="245"/>
      <c r="CF39" s="245"/>
      <c r="CG39" s="245"/>
      <c r="CH39" s="245"/>
      <c r="CI39" s="245"/>
      <c r="CK39" s="250"/>
      <c r="CL39" s="261"/>
      <c r="CM39" s="245"/>
      <c r="CN39" s="245"/>
      <c r="CO39" s="245"/>
      <c r="CP39" s="245"/>
      <c r="CQ39" s="245"/>
      <c r="CR39" s="245"/>
      <c r="CS39" s="245"/>
      <c r="CT39" s="245"/>
      <c r="CV39" s="250"/>
      <c r="CW39" s="245"/>
      <c r="CX39" s="245"/>
      <c r="CY39" s="245"/>
      <c r="CZ39" s="245"/>
      <c r="DA39" s="245"/>
      <c r="DB39" s="245"/>
      <c r="DC39" s="245"/>
      <c r="DD39" s="245"/>
      <c r="DE39" s="245"/>
      <c r="DG39" s="250"/>
      <c r="DH39" s="245"/>
      <c r="DI39" s="245"/>
      <c r="DJ39" s="245"/>
      <c r="DK39" s="245"/>
      <c r="DL39" s="245"/>
      <c r="DM39" s="245"/>
      <c r="DN39" s="245"/>
      <c r="DO39" s="245"/>
      <c r="DP39" s="245"/>
      <c r="DR39" s="250"/>
      <c r="DS39" s="245"/>
      <c r="DT39" s="245"/>
      <c r="DU39" s="245"/>
      <c r="DV39" s="245"/>
      <c r="DW39" s="245"/>
      <c r="DX39" s="245"/>
      <c r="DY39" s="245"/>
      <c r="DZ39" s="245"/>
      <c r="EA39" s="245"/>
      <c r="EC39" s="250"/>
      <c r="ED39" s="245"/>
      <c r="EE39" s="245"/>
      <c r="EF39" s="245"/>
      <c r="EG39" s="245"/>
      <c r="EH39" s="245"/>
      <c r="EI39" s="245"/>
      <c r="EJ39" s="245"/>
      <c r="EK39" s="245"/>
      <c r="EL39" s="245"/>
    </row>
    <row r="40" spans="1:142" ht="15.75" x14ac:dyDescent="0.25">
      <c r="A40" s="250" t="s">
        <v>104</v>
      </c>
      <c r="B40" s="245"/>
      <c r="C40" s="245"/>
      <c r="D40" s="245"/>
      <c r="E40" s="245"/>
      <c r="F40" s="245"/>
      <c r="G40" s="245"/>
      <c r="H40" s="245"/>
      <c r="I40" s="245"/>
      <c r="J40" s="245"/>
      <c r="L40" s="250" t="s">
        <v>104</v>
      </c>
      <c r="M40" s="245"/>
      <c r="N40" s="245"/>
      <c r="O40" s="245"/>
      <c r="P40" s="245"/>
      <c r="Q40" s="245"/>
      <c r="R40" s="245"/>
      <c r="S40" s="245"/>
      <c r="T40" s="245"/>
      <c r="U40" s="245"/>
      <c r="W40" s="250" t="s">
        <v>104</v>
      </c>
      <c r="X40" s="245"/>
      <c r="Y40" s="245"/>
      <c r="Z40" s="245"/>
      <c r="AA40" s="245"/>
      <c r="AB40" s="245"/>
      <c r="AC40" s="245"/>
      <c r="AD40" s="245"/>
      <c r="AE40" s="245"/>
      <c r="AF40" s="245"/>
      <c r="AH40" s="250" t="s">
        <v>104</v>
      </c>
      <c r="AI40" s="245"/>
      <c r="AJ40" s="245"/>
      <c r="AK40" s="245"/>
      <c r="AL40" s="245"/>
      <c r="AM40" s="245"/>
      <c r="AN40" s="245"/>
      <c r="AO40" s="245"/>
      <c r="AP40" s="245"/>
      <c r="AQ40" s="245"/>
      <c r="AS40" s="250"/>
      <c r="AT40" s="261"/>
      <c r="AU40" s="245"/>
      <c r="AV40" s="245"/>
      <c r="AW40" s="245"/>
      <c r="AX40" s="245"/>
      <c r="AY40" s="245"/>
      <c r="AZ40" s="245"/>
      <c r="BA40" s="245"/>
      <c r="BB40" s="245"/>
      <c r="BD40" s="250"/>
      <c r="BE40" s="261"/>
      <c r="BF40" s="245"/>
      <c r="BG40" s="245"/>
      <c r="BH40" s="245"/>
      <c r="BI40" s="245"/>
      <c r="BJ40" s="245"/>
      <c r="BK40" s="245"/>
      <c r="BL40" s="245"/>
      <c r="BM40" s="245"/>
      <c r="BO40" s="250"/>
      <c r="BP40" s="261"/>
      <c r="BQ40" s="245"/>
      <c r="BR40" s="245"/>
      <c r="BS40" s="245"/>
      <c r="BT40" s="245"/>
      <c r="BU40" s="245"/>
      <c r="BV40" s="245"/>
      <c r="BW40" s="245"/>
      <c r="BX40" s="245"/>
      <c r="BZ40" s="250"/>
      <c r="CA40" s="261"/>
      <c r="CB40" s="245"/>
      <c r="CC40" s="245"/>
      <c r="CD40" s="245"/>
      <c r="CE40" s="245"/>
      <c r="CF40" s="245"/>
      <c r="CG40" s="245"/>
      <c r="CH40" s="245"/>
      <c r="CI40" s="245"/>
      <c r="CK40" s="250"/>
      <c r="CL40" s="261"/>
      <c r="CM40" s="245"/>
      <c r="CN40" s="245"/>
      <c r="CO40" s="245"/>
      <c r="CP40" s="245"/>
      <c r="CQ40" s="245"/>
      <c r="CR40" s="245"/>
      <c r="CS40" s="245"/>
      <c r="CT40" s="245"/>
      <c r="CV40" s="250"/>
      <c r="CW40" s="338" t="s">
        <v>114</v>
      </c>
      <c r="CX40" s="338" t="s">
        <v>623</v>
      </c>
      <c r="CY40" s="338" t="s">
        <v>624</v>
      </c>
      <c r="CZ40" s="338" t="s">
        <v>625</v>
      </c>
      <c r="DA40" s="338" t="s">
        <v>626</v>
      </c>
      <c r="DB40" s="338" t="s">
        <v>575</v>
      </c>
      <c r="DC40" s="338" t="s">
        <v>576</v>
      </c>
      <c r="DD40" s="338" t="s">
        <v>103</v>
      </c>
      <c r="DE40" s="338" t="s">
        <v>577</v>
      </c>
      <c r="DG40" s="250"/>
      <c r="DH40" s="338" t="s">
        <v>114</v>
      </c>
      <c r="DI40" s="338" t="s">
        <v>623</v>
      </c>
      <c r="DJ40" s="338" t="s">
        <v>624</v>
      </c>
      <c r="DK40" s="338" t="s">
        <v>625</v>
      </c>
      <c r="DL40" s="338" t="s">
        <v>626</v>
      </c>
      <c r="DM40" s="338" t="s">
        <v>575</v>
      </c>
      <c r="DN40" s="338" t="s">
        <v>576</v>
      </c>
      <c r="DO40" s="338" t="s">
        <v>103</v>
      </c>
      <c r="DP40" s="338" t="s">
        <v>577</v>
      </c>
      <c r="DR40" s="250"/>
      <c r="DS40" s="338" t="s">
        <v>114</v>
      </c>
      <c r="DT40" s="338" t="s">
        <v>623</v>
      </c>
      <c r="DU40" s="338" t="s">
        <v>624</v>
      </c>
      <c r="DV40" s="338" t="s">
        <v>625</v>
      </c>
      <c r="DW40" s="338" t="s">
        <v>626</v>
      </c>
      <c r="DX40" s="338" t="s">
        <v>575</v>
      </c>
      <c r="DY40" s="338" t="s">
        <v>576</v>
      </c>
      <c r="DZ40" s="338" t="s">
        <v>103</v>
      </c>
      <c r="EA40" s="338" t="s">
        <v>577</v>
      </c>
      <c r="EC40" s="250"/>
      <c r="ED40" s="338" t="s">
        <v>114</v>
      </c>
      <c r="EE40" s="338" t="s">
        <v>623</v>
      </c>
      <c r="EF40" s="338" t="s">
        <v>624</v>
      </c>
      <c r="EG40" s="338" t="s">
        <v>625</v>
      </c>
      <c r="EH40" s="338" t="s">
        <v>626</v>
      </c>
      <c r="EI40" s="338" t="s">
        <v>575</v>
      </c>
      <c r="EJ40" s="338" t="s">
        <v>576</v>
      </c>
      <c r="EK40" s="338" t="s">
        <v>103</v>
      </c>
      <c r="EL40" s="338" t="s">
        <v>577</v>
      </c>
    </row>
    <row r="41" spans="1:142" ht="15.75" x14ac:dyDescent="0.25">
      <c r="A41" s="250" t="s">
        <v>577</v>
      </c>
      <c r="B41" s="338" t="e">
        <f ca="1">SUM(J7:J36)</f>
        <v>#N/A</v>
      </c>
      <c r="C41" s="245"/>
      <c r="D41" s="245"/>
      <c r="E41" s="245"/>
      <c r="F41" s="245"/>
      <c r="G41" s="245"/>
      <c r="H41" s="245"/>
      <c r="I41" s="245"/>
      <c r="J41" s="245"/>
      <c r="L41" s="250" t="s">
        <v>577</v>
      </c>
      <c r="M41" s="338" t="e">
        <f ca="1">SUM(U7:U36)</f>
        <v>#N/A</v>
      </c>
      <c r="N41" s="245"/>
      <c r="O41" s="245"/>
      <c r="P41" s="245"/>
      <c r="Q41" s="245"/>
      <c r="R41" s="245"/>
      <c r="S41" s="245"/>
      <c r="T41" s="245"/>
      <c r="U41" s="245"/>
      <c r="W41" s="250" t="s">
        <v>577</v>
      </c>
      <c r="X41" s="338" t="e">
        <f ca="1">SUM(AF7:AF36)</f>
        <v>#N/A</v>
      </c>
      <c r="Y41" s="245"/>
      <c r="Z41" s="245"/>
      <c r="AA41" s="245"/>
      <c r="AB41" s="245"/>
      <c r="AC41" s="245"/>
      <c r="AD41" s="245"/>
      <c r="AE41" s="245"/>
      <c r="AF41" s="245"/>
      <c r="AH41" s="250" t="s">
        <v>577</v>
      </c>
      <c r="AI41" s="338" t="e">
        <f ca="1">SUM(AQ7:AQ36)</f>
        <v>#N/A</v>
      </c>
      <c r="AJ41" s="245"/>
      <c r="AK41" s="245"/>
      <c r="AL41" s="245"/>
      <c r="AM41" s="245"/>
      <c r="AN41" s="245"/>
      <c r="AO41" s="245"/>
      <c r="AP41" s="245"/>
      <c r="AQ41" s="245"/>
      <c r="AS41" s="250"/>
      <c r="AT41" s="245"/>
      <c r="AU41" s="245"/>
      <c r="AV41" s="245"/>
      <c r="AW41" s="245"/>
      <c r="AX41" s="245"/>
      <c r="AY41" s="245"/>
      <c r="AZ41" s="245"/>
      <c r="BA41" s="245"/>
      <c r="BB41" s="245"/>
      <c r="BD41" s="250"/>
      <c r="BE41" s="245"/>
      <c r="BF41" s="245"/>
      <c r="BG41" s="245"/>
      <c r="BH41" s="245"/>
      <c r="BI41" s="245"/>
      <c r="BJ41" s="245"/>
      <c r="BK41" s="245"/>
      <c r="BL41" s="245"/>
      <c r="BM41" s="245"/>
      <c r="BO41" s="250"/>
      <c r="BP41" s="245"/>
      <c r="BQ41" s="245"/>
      <c r="BR41" s="245"/>
      <c r="BS41" s="245"/>
      <c r="BT41" s="245"/>
      <c r="BU41" s="245"/>
      <c r="BV41" s="245"/>
      <c r="BW41" s="245"/>
      <c r="BX41" s="245"/>
      <c r="BZ41" s="250"/>
      <c r="CA41" s="245"/>
      <c r="CB41" s="245"/>
      <c r="CC41" s="245"/>
      <c r="CD41" s="245"/>
      <c r="CE41" s="245"/>
      <c r="CF41" s="245"/>
      <c r="CG41" s="245"/>
      <c r="CH41" s="245"/>
      <c r="CI41" s="245"/>
      <c r="CK41" s="250"/>
      <c r="CL41" s="245"/>
      <c r="CM41" s="245"/>
      <c r="CN41" s="245"/>
      <c r="CO41" s="245"/>
      <c r="CP41" s="245"/>
      <c r="CQ41" s="245"/>
      <c r="CR41" s="245"/>
      <c r="CS41" s="245"/>
      <c r="CT41" s="245"/>
      <c r="CV41" s="250" t="s">
        <v>628</v>
      </c>
      <c r="CW41" s="338">
        <f ca="1">MatWidth</f>
        <v>18</v>
      </c>
      <c r="CX41" s="338">
        <f ca="1">MatThickness</f>
        <v>0.25</v>
      </c>
      <c r="CY41" s="338">
        <f ca="1">MatLnFLT</f>
        <v>48</v>
      </c>
      <c r="CZ41" s="338">
        <f ca="1">MatDensity</f>
        <v>0.28299999999999997</v>
      </c>
      <c r="DA41" s="338">
        <f ca="1">MatLoop</f>
        <v>565.48667764616278</v>
      </c>
      <c r="DB41" s="257">
        <f ca="1">CW41*CX41*CZ41*DA41</f>
        <v>720.14728398238822</v>
      </c>
      <c r="DC41" s="257">
        <f ca="1">((CW41*CX41*CY41*CZ41)/32.3)*(((CW6*0.5)^2)/144)*12</f>
        <v>1.4193808049535603</v>
      </c>
      <c r="DD41" s="257" t="e">
        <f ca="1">Ratio</f>
        <v>#N/A</v>
      </c>
      <c r="DE41" s="257" t="e">
        <f ca="1">DC41/(Ratio^2)</f>
        <v>#N/A</v>
      </c>
      <c r="DG41" s="250" t="s">
        <v>628</v>
      </c>
      <c r="DH41" s="338">
        <f ca="1">MatWidth</f>
        <v>18</v>
      </c>
      <c r="DI41" s="338">
        <f ca="1">MatThickness</f>
        <v>0.25</v>
      </c>
      <c r="DJ41" s="338">
        <f ca="1">MatLnFLT</f>
        <v>48</v>
      </c>
      <c r="DK41" s="338">
        <f ca="1">MatDensity</f>
        <v>0.28299999999999997</v>
      </c>
      <c r="DL41" s="338">
        <f ca="1">MatLoop</f>
        <v>565.48667764616278</v>
      </c>
      <c r="DM41" s="257">
        <f ca="1">DH41*DI41*DK41*DL41</f>
        <v>720.14728398238822</v>
      </c>
      <c r="DN41" s="257">
        <f ca="1">((DH41*DI41*DJ41*DK41)/32.3)*(((DH6*0.5)^2)/144)*12</f>
        <v>1.4193808049535603</v>
      </c>
      <c r="DO41" s="257" t="e">
        <f ca="1">Ratio</f>
        <v>#N/A</v>
      </c>
      <c r="DP41" s="257" t="e">
        <f ca="1">DN41/(Ratio^2)</f>
        <v>#N/A</v>
      </c>
      <c r="DR41" s="250" t="s">
        <v>628</v>
      </c>
      <c r="DS41" s="338">
        <f ca="1">MatWidth</f>
        <v>18</v>
      </c>
      <c r="DT41" s="338">
        <f ca="1">MatThickness</f>
        <v>0.25</v>
      </c>
      <c r="DU41" s="338">
        <f ca="1">MatLnFLT</f>
        <v>48</v>
      </c>
      <c r="DV41" s="338">
        <f ca="1">MatDensity</f>
        <v>0.28299999999999997</v>
      </c>
      <c r="DW41" s="338">
        <f ca="1">MatLoop</f>
        <v>565.48667764616278</v>
      </c>
      <c r="DX41" s="257">
        <f ca="1">DS41*DT41*DV41*DW41</f>
        <v>720.14728398238822</v>
      </c>
      <c r="DY41" s="257">
        <f ca="1">((DS41*DT41*DU41*DV41)/32.3)*(((DS6*0.5)^2)/144)*12</f>
        <v>1.9319349845201239</v>
      </c>
      <c r="DZ41" s="257" t="e">
        <f ca="1">Ratio</f>
        <v>#N/A</v>
      </c>
      <c r="EA41" s="257" t="e">
        <f ca="1">DY41/(Ratio^2)</f>
        <v>#N/A</v>
      </c>
      <c r="EC41" s="250" t="s">
        <v>628</v>
      </c>
      <c r="ED41" s="338">
        <f ca="1">MatWidth</f>
        <v>18</v>
      </c>
      <c r="EE41" s="338">
        <f ca="1">MatThickness</f>
        <v>0.25</v>
      </c>
      <c r="EF41" s="338">
        <f ca="1">MatLnFLT</f>
        <v>48</v>
      </c>
      <c r="EG41" s="338">
        <f ca="1">MatDensity</f>
        <v>0.28299999999999997</v>
      </c>
      <c r="EH41" s="338">
        <f ca="1">MatLoop</f>
        <v>565.48667764616278</v>
      </c>
      <c r="EI41" s="257">
        <f ca="1">ED41*EE41*EG41*EH41</f>
        <v>720.14728398238822</v>
      </c>
      <c r="EJ41" s="257">
        <f ca="1">((ED41*EE41*EF41*EG41)/32.3)*(((ED6*0.5)^2)/144)*12</f>
        <v>2.523343653250774</v>
      </c>
      <c r="EK41" s="257" t="e">
        <f ca="1">Ratio</f>
        <v>#N/A</v>
      </c>
      <c r="EL41" s="257" t="e">
        <f ca="1">EJ41/(Ratio^2)</f>
        <v>#N/A</v>
      </c>
    </row>
    <row r="42" spans="1:142" ht="15.75" x14ac:dyDescent="0.25">
      <c r="AS42" s="250" t="s">
        <v>104</v>
      </c>
      <c r="AT42" s="245"/>
      <c r="AU42" s="245"/>
      <c r="AV42" s="245"/>
      <c r="AW42" s="245"/>
      <c r="AX42" s="245"/>
      <c r="AY42" s="245"/>
      <c r="AZ42" s="245"/>
      <c r="BA42" s="245"/>
      <c r="BB42" s="245"/>
      <c r="BD42" s="250" t="s">
        <v>104</v>
      </c>
      <c r="BE42" s="245"/>
      <c r="BF42" s="245"/>
      <c r="BG42" s="245"/>
      <c r="BH42" s="245"/>
      <c r="BI42" s="245"/>
      <c r="BJ42" s="245"/>
      <c r="BK42" s="245"/>
      <c r="BL42" s="245"/>
      <c r="BM42" s="245"/>
      <c r="BO42" s="250" t="s">
        <v>104</v>
      </c>
      <c r="BP42" s="245"/>
      <c r="BQ42" s="245"/>
      <c r="BR42" s="245"/>
      <c r="BS42" s="245"/>
      <c r="BT42" s="245"/>
      <c r="BU42" s="245"/>
      <c r="BV42" s="245"/>
      <c r="BW42" s="245"/>
      <c r="BX42" s="245"/>
      <c r="BZ42" s="250" t="s">
        <v>104</v>
      </c>
      <c r="CA42" s="245"/>
      <c r="CB42" s="245"/>
      <c r="CC42" s="245"/>
      <c r="CD42" s="245"/>
      <c r="CE42" s="245"/>
      <c r="CF42" s="245"/>
      <c r="CG42" s="245"/>
      <c r="CH42" s="245"/>
      <c r="CI42" s="245"/>
      <c r="CK42" s="250" t="s">
        <v>104</v>
      </c>
      <c r="CL42" s="245"/>
      <c r="CM42" s="245"/>
      <c r="CN42" s="245"/>
      <c r="CO42" s="245"/>
      <c r="CP42" s="245"/>
      <c r="CQ42" s="245"/>
      <c r="CR42" s="245"/>
      <c r="CS42" s="245"/>
      <c r="CT42" s="245"/>
      <c r="CV42" s="250"/>
      <c r="CW42" s="261"/>
      <c r="CX42" s="245"/>
      <c r="CY42" s="245"/>
      <c r="CZ42" s="245"/>
      <c r="DA42" s="245"/>
      <c r="DB42" s="245"/>
      <c r="DC42" s="245"/>
      <c r="DD42" s="245"/>
      <c r="DE42" s="245"/>
      <c r="DG42" s="250"/>
      <c r="DH42" s="261"/>
      <c r="DI42" s="245"/>
      <c r="DJ42" s="245"/>
      <c r="DK42" s="245"/>
      <c r="DL42" s="245"/>
      <c r="DM42" s="245"/>
      <c r="DN42" s="245"/>
      <c r="DO42" s="245"/>
      <c r="DP42" s="245"/>
      <c r="DR42" s="250"/>
      <c r="DS42" s="261"/>
      <c r="DT42" s="245"/>
      <c r="DU42" s="245"/>
      <c r="DV42" s="245"/>
      <c r="DW42" s="245"/>
      <c r="DX42" s="245"/>
      <c r="DY42" s="245"/>
      <c r="DZ42" s="245"/>
      <c r="EA42" s="245"/>
    </row>
    <row r="43" spans="1:142" ht="15.75" x14ac:dyDescent="0.25">
      <c r="AS43" s="250" t="s">
        <v>577</v>
      </c>
      <c r="AT43" s="338" t="e">
        <f ca="1">SUM(BB7:BB38)</f>
        <v>#N/A</v>
      </c>
      <c r="AU43" s="245"/>
      <c r="AV43" s="245"/>
      <c r="AW43" s="245"/>
      <c r="AX43" s="245"/>
      <c r="AY43" s="245"/>
      <c r="AZ43" s="245"/>
      <c r="BA43" s="245"/>
      <c r="BB43" s="245"/>
      <c r="BD43" s="250" t="s">
        <v>577</v>
      </c>
      <c r="BE43" s="338" t="e">
        <f ca="1">SUM(BM7:BM38)</f>
        <v>#N/A</v>
      </c>
      <c r="BF43" s="245"/>
      <c r="BG43" s="245"/>
      <c r="BH43" s="245"/>
      <c r="BI43" s="245"/>
      <c r="BJ43" s="245"/>
      <c r="BK43" s="245"/>
      <c r="BL43" s="245"/>
      <c r="BM43" s="245"/>
      <c r="BO43" s="250" t="s">
        <v>577</v>
      </c>
      <c r="BP43" s="338" t="e">
        <f ca="1">SUM(BX7:BX38)</f>
        <v>#N/A</v>
      </c>
      <c r="BQ43" s="245"/>
      <c r="BR43" s="245"/>
      <c r="BS43" s="245"/>
      <c r="BT43" s="245"/>
      <c r="BU43" s="245"/>
      <c r="BV43" s="245"/>
      <c r="BW43" s="245"/>
      <c r="BX43" s="245"/>
      <c r="BZ43" s="250" t="s">
        <v>577</v>
      </c>
      <c r="CA43" s="338" t="e">
        <f ca="1">SUM(CI7:CI38)</f>
        <v>#N/A</v>
      </c>
      <c r="CB43" s="245"/>
      <c r="CC43" s="245"/>
      <c r="CD43" s="245"/>
      <c r="CE43" s="245"/>
      <c r="CF43" s="245"/>
      <c r="CG43" s="245"/>
      <c r="CH43" s="245"/>
      <c r="CI43" s="245"/>
      <c r="CK43" s="250" t="s">
        <v>577</v>
      </c>
      <c r="CL43" s="338" t="e">
        <f ca="1">SUM(CT7:CT38)</f>
        <v>#N/A</v>
      </c>
      <c r="CM43" s="245"/>
      <c r="CN43" s="245"/>
      <c r="CO43" s="245"/>
      <c r="CP43" s="245"/>
      <c r="CQ43" s="245"/>
      <c r="CR43" s="245"/>
      <c r="CS43" s="245"/>
      <c r="CT43" s="245"/>
      <c r="CV43" s="250"/>
      <c r="CW43" s="261"/>
      <c r="CX43" s="245"/>
      <c r="CY43" s="245"/>
      <c r="CZ43" s="245"/>
      <c r="DA43" s="245"/>
      <c r="DB43" s="245"/>
      <c r="DC43" s="245"/>
      <c r="DD43" s="245"/>
      <c r="DE43" s="245"/>
      <c r="DG43" s="250"/>
      <c r="DH43" s="261"/>
      <c r="DI43" s="245"/>
      <c r="DJ43" s="245"/>
      <c r="DK43" s="245"/>
      <c r="DL43" s="245"/>
      <c r="DM43" s="245"/>
      <c r="DN43" s="245"/>
      <c r="DO43" s="245"/>
      <c r="DP43" s="245"/>
      <c r="DR43" s="250"/>
      <c r="DS43" s="261"/>
      <c r="DT43" s="245"/>
      <c r="DU43" s="245"/>
      <c r="DV43" s="245"/>
      <c r="DW43" s="245"/>
      <c r="DX43" s="245"/>
      <c r="DY43" s="245"/>
      <c r="DZ43" s="245"/>
      <c r="EA43" s="245"/>
    </row>
    <row r="44" spans="1:142" ht="15.75" x14ac:dyDescent="0.25">
      <c r="CV44" s="250"/>
      <c r="CW44" s="245"/>
      <c r="CX44" s="245"/>
      <c r="CY44" s="245"/>
      <c r="CZ44" s="245"/>
      <c r="DA44" s="245"/>
      <c r="DB44" s="245"/>
      <c r="DC44" s="245"/>
      <c r="DD44" s="245"/>
      <c r="DE44" s="245"/>
      <c r="DG44" s="250"/>
      <c r="DH44" s="245"/>
      <c r="DI44" s="245"/>
      <c r="DJ44" s="245"/>
      <c r="DK44" s="245"/>
      <c r="DL44" s="245"/>
      <c r="DM44" s="245"/>
      <c r="DN44" s="245"/>
      <c r="DO44" s="245"/>
      <c r="DP44" s="245"/>
      <c r="DR44" s="250"/>
      <c r="DS44" s="245"/>
      <c r="DT44" s="245"/>
      <c r="DU44" s="245"/>
      <c r="DV44" s="245"/>
      <c r="DW44" s="245"/>
      <c r="DX44" s="245"/>
      <c r="DY44" s="245"/>
      <c r="DZ44" s="245"/>
      <c r="EA44" s="245"/>
    </row>
    <row r="45" spans="1:142" ht="15.75" x14ac:dyDescent="0.25">
      <c r="A45" s="600" t="s">
        <v>979</v>
      </c>
      <c r="B45" s="600"/>
      <c r="CV45" s="250" t="s">
        <v>104</v>
      </c>
      <c r="CW45" s="245"/>
      <c r="CX45" s="245"/>
      <c r="CY45" s="245"/>
      <c r="CZ45" s="245"/>
      <c r="DA45" s="245"/>
      <c r="DB45" s="245"/>
      <c r="DC45" s="245"/>
      <c r="DD45" s="245"/>
      <c r="DE45" s="245"/>
      <c r="DG45" s="250" t="s">
        <v>104</v>
      </c>
      <c r="DH45" s="245"/>
      <c r="DI45" s="245"/>
      <c r="DJ45" s="245"/>
      <c r="DK45" s="245"/>
      <c r="DL45" s="245"/>
      <c r="DM45" s="245"/>
      <c r="DN45" s="245"/>
      <c r="DO45" s="245"/>
      <c r="DP45" s="245"/>
      <c r="DR45" s="250" t="s">
        <v>104</v>
      </c>
      <c r="DS45" s="245"/>
      <c r="DT45" s="245"/>
      <c r="DU45" s="245"/>
      <c r="DV45" s="245"/>
      <c r="DW45" s="245"/>
      <c r="DX45" s="245"/>
      <c r="DY45" s="245"/>
      <c r="DZ45" s="245"/>
      <c r="EA45" s="245"/>
      <c r="ED45" s="250" t="s">
        <v>104</v>
      </c>
    </row>
    <row r="46" spans="1:142" ht="15.75" x14ac:dyDescent="0.25">
      <c r="A46" s="600" t="s">
        <v>830</v>
      </c>
      <c r="B46" s="600"/>
      <c r="CV46" s="250" t="s">
        <v>577</v>
      </c>
      <c r="CW46" s="257" t="e">
        <f ca="1">SUM(DE6:DE41)</f>
        <v>#N/A</v>
      </c>
      <c r="CX46" s="245"/>
      <c r="CY46" s="245"/>
      <c r="CZ46" s="245"/>
      <c r="DA46" s="245"/>
      <c r="DB46" s="245"/>
      <c r="DC46" s="245"/>
      <c r="DD46" s="245"/>
      <c r="DE46" s="245"/>
      <c r="DG46" s="250" t="s">
        <v>577</v>
      </c>
      <c r="DH46" s="338" t="e">
        <f ca="1">SUM(DP6:DP41)</f>
        <v>#N/A</v>
      </c>
      <c r="DI46" s="245"/>
      <c r="DJ46" s="245"/>
      <c r="DK46" s="245"/>
      <c r="DL46" s="245"/>
      <c r="DM46" s="245"/>
      <c r="DN46" s="245"/>
      <c r="DO46" s="245"/>
      <c r="DP46" s="245"/>
      <c r="DR46" s="250" t="s">
        <v>577</v>
      </c>
      <c r="DS46" s="338" t="e">
        <f ca="1">SUM(EA6:EA41)</f>
        <v>#N/A</v>
      </c>
      <c r="DT46" s="245"/>
      <c r="DU46" s="245"/>
      <c r="DV46" s="245"/>
      <c r="DW46" s="245"/>
      <c r="DX46" s="245"/>
      <c r="DY46" s="245"/>
      <c r="DZ46" s="245"/>
      <c r="EA46" s="245"/>
      <c r="ED46" s="250" t="s">
        <v>577</v>
      </c>
      <c r="EE46" s="338" t="e">
        <f ca="1">SUM(EL6:EL41)</f>
        <v>#N/A</v>
      </c>
    </row>
    <row r="47" spans="1:142" x14ac:dyDescent="0.25">
      <c r="A47" s="600" t="s">
        <v>447</v>
      </c>
      <c r="B47" s="600">
        <f ca="1">INDIRECT("'" &amp; A$46 &amp; "'!" &amp; A47)</f>
        <v>0</v>
      </c>
    </row>
    <row r="48" spans="1:142" x14ac:dyDescent="0.25">
      <c r="A48" s="600" t="s">
        <v>224</v>
      </c>
      <c r="B48" s="600" t="e">
        <f t="shared" ref="B48:B54" ca="1" si="4">INDIRECT("'" &amp; A$46 &amp; "'!" &amp; A48)</f>
        <v>#N/A</v>
      </c>
    </row>
    <row r="49" spans="1:2" x14ac:dyDescent="0.25">
      <c r="A49" s="600" t="s">
        <v>980</v>
      </c>
      <c r="B49" s="600">
        <f t="shared" ca="1" si="4"/>
        <v>18</v>
      </c>
    </row>
    <row r="50" spans="1:2" x14ac:dyDescent="0.25">
      <c r="A50" s="600" t="s">
        <v>982</v>
      </c>
      <c r="B50" s="600">
        <f t="shared" ca="1" si="4"/>
        <v>0.25</v>
      </c>
    </row>
    <row r="51" spans="1:2" x14ac:dyDescent="0.25">
      <c r="A51" s="600" t="s">
        <v>984</v>
      </c>
      <c r="B51" s="600">
        <f t="shared" ca="1" si="4"/>
        <v>48</v>
      </c>
    </row>
    <row r="52" spans="1:2" x14ac:dyDescent="0.25">
      <c r="A52" s="600" t="s">
        <v>983</v>
      </c>
      <c r="B52" s="600">
        <f t="shared" ca="1" si="4"/>
        <v>0.28299999999999997</v>
      </c>
    </row>
    <row r="53" spans="1:2" x14ac:dyDescent="0.25">
      <c r="A53" s="600" t="s">
        <v>981</v>
      </c>
      <c r="B53" s="600">
        <f t="shared" ca="1" si="4"/>
        <v>565.48667764616278</v>
      </c>
    </row>
    <row r="54" spans="1:2" x14ac:dyDescent="0.25">
      <c r="A54" s="600" t="s">
        <v>988</v>
      </c>
      <c r="B54" s="600" t="str">
        <f t="shared" ca="1" si="4"/>
        <v>Y</v>
      </c>
    </row>
  </sheetData>
  <mergeCells count="4">
    <mergeCell ref="CW37:CY37"/>
    <mergeCell ref="DH37:DJ37"/>
    <mergeCell ref="DS37:DU37"/>
    <mergeCell ref="ED37:EF37"/>
  </mergeCells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C061CD-ADFE-4B04-A760-E13E08A781C4}">
  <sheetPr codeName="Sheet42">
    <tabColor rgb="FFFF0000"/>
  </sheetPr>
  <dimension ref="A1:S66"/>
  <sheetViews>
    <sheetView topLeftCell="A29" workbookViewId="0">
      <selection activeCell="D31" sqref="D31:E66"/>
    </sheetView>
  </sheetViews>
  <sheetFormatPr defaultRowHeight="15" x14ac:dyDescent="0.25"/>
  <cols>
    <col min="1" max="1" width="13.7109375" customWidth="1"/>
    <col min="2" max="2" width="11.85546875" bestFit="1" customWidth="1"/>
  </cols>
  <sheetData>
    <row r="1" spans="1:19" x14ac:dyDescent="0.25">
      <c r="D1" t="s">
        <v>629</v>
      </c>
      <c r="M1" t="s">
        <v>435</v>
      </c>
    </row>
    <row r="2" spans="1:19" ht="15.75" thickBot="1" x14ac:dyDescent="0.3"/>
    <row r="3" spans="1:19" ht="15.75" thickBot="1" x14ac:dyDescent="0.3">
      <c r="A3" s="352" t="s">
        <v>123</v>
      </c>
      <c r="B3" s="353" t="e">
        <f ca="1">((vel/ACCEL)*vel)*12</f>
        <v>#N/A</v>
      </c>
      <c r="C3" s="354">
        <f ca="1">MINLN</f>
        <v>4</v>
      </c>
      <c r="D3" s="354">
        <f t="shared" ref="D3:I3" ca="1" si="0">C3+INCR</f>
        <v>8</v>
      </c>
      <c r="E3" s="354">
        <f t="shared" ca="1" si="0"/>
        <v>12</v>
      </c>
      <c r="F3" s="354">
        <f t="shared" ca="1" si="0"/>
        <v>16</v>
      </c>
      <c r="G3" s="354">
        <f t="shared" ca="1" si="0"/>
        <v>20</v>
      </c>
      <c r="H3" s="354">
        <f t="shared" ca="1" si="0"/>
        <v>24</v>
      </c>
      <c r="I3" s="354">
        <f t="shared" ca="1" si="0"/>
        <v>28</v>
      </c>
      <c r="K3" s="352" t="s">
        <v>123</v>
      </c>
      <c r="L3" s="353" t="e">
        <f ca="1">((vel/ACCEL)*vel)*12</f>
        <v>#N/A</v>
      </c>
      <c r="M3" s="354">
        <f ca="1">MINLN</f>
        <v>4</v>
      </c>
      <c r="N3" s="354">
        <f t="shared" ref="N3:S3" ca="1" si="1">M3+INCR</f>
        <v>8</v>
      </c>
      <c r="O3" s="354">
        <f t="shared" ca="1" si="1"/>
        <v>12</v>
      </c>
      <c r="P3" s="354">
        <f t="shared" ca="1" si="1"/>
        <v>16</v>
      </c>
      <c r="Q3" s="354">
        <f t="shared" ca="1" si="1"/>
        <v>20</v>
      </c>
      <c r="R3" s="354">
        <f t="shared" ca="1" si="1"/>
        <v>24</v>
      </c>
      <c r="S3" s="354">
        <f t="shared" ca="1" si="1"/>
        <v>28</v>
      </c>
    </row>
    <row r="4" spans="1:19" ht="15.75" thickBot="1" x14ac:dyDescent="0.3">
      <c r="A4" s="352" t="s">
        <v>630</v>
      </c>
      <c r="B4" s="355" t="e">
        <f ca="1">SQRT((((PEAKTQ^2)*ACCTM)+((ACCTQ^2)*ACCTM)+(((FRICTQ+LOOPTQ)^2)*B5)+((SETTQ^2)*SETTM)+((LOOPTQ^2)*DWLTM))/CYCTM)</f>
        <v>#N/A</v>
      </c>
      <c r="C4" s="356" t="e">
        <f t="shared" ref="C4:I4" ca="1" si="2">SQRT((((PEAKTQ^2)*C7)+((ACCTQ^2)*C7)+(((FRICTQ+LOOPTQ)^2)*C5)+((SETTQ^2)*SETTM)+((LOOPTQ^2)*C6))/C9)</f>
        <v>#N/A</v>
      </c>
      <c r="D4" s="356" t="e">
        <f t="shared" ca="1" si="2"/>
        <v>#N/A</v>
      </c>
      <c r="E4" s="356" t="e">
        <f t="shared" ca="1" si="2"/>
        <v>#N/A</v>
      </c>
      <c r="F4" s="356" t="e">
        <f t="shared" ca="1" si="2"/>
        <v>#N/A</v>
      </c>
      <c r="G4" s="356" t="e">
        <f t="shared" ca="1" si="2"/>
        <v>#N/A</v>
      </c>
      <c r="H4" s="356" t="e">
        <f t="shared" ca="1" si="2"/>
        <v>#N/A</v>
      </c>
      <c r="I4" s="357" t="e">
        <f t="shared" ca="1" si="2"/>
        <v>#N/A</v>
      </c>
      <c r="K4" s="352" t="s">
        <v>630</v>
      </c>
      <c r="L4" s="355" t="e">
        <f ca="1">SQRT((((PEAKTQ^2)*ACCTM_2)+((ACCTQ^2)*ACCTM_2)+(((FRICTQ+LOOPTQ)^2)*L5)+((SETTQ^2)*SETTM)+((LOOPTQ^2)*DWLTM_2))/CYCTM_2)</f>
        <v>#N/A</v>
      </c>
      <c r="M4" s="356" t="e">
        <f t="shared" ref="M4:S4" ca="1" si="3">SQRT((((PEAKTQ^2)*M7)+((ACCTQ^2)*M7)+(((FRICTQ+LOOPTQ)^2)*M5)+((SETTQ^2)*SETTM)+((LOOPTQ^2)*M6))/M9)</f>
        <v>#N/A</v>
      </c>
      <c r="N4" s="356" t="e">
        <f t="shared" ca="1" si="3"/>
        <v>#N/A</v>
      </c>
      <c r="O4" s="356" t="e">
        <f t="shared" ca="1" si="3"/>
        <v>#N/A</v>
      </c>
      <c r="P4" s="356" t="e">
        <f t="shared" ca="1" si="3"/>
        <v>#N/A</v>
      </c>
      <c r="Q4" s="356" t="e">
        <f t="shared" ca="1" si="3"/>
        <v>#N/A</v>
      </c>
      <c r="R4" s="356" t="e">
        <f t="shared" ca="1" si="3"/>
        <v>#N/A</v>
      </c>
      <c r="S4" s="357" t="e">
        <f t="shared" ca="1" si="3"/>
        <v>#N/A</v>
      </c>
    </row>
    <row r="5" spans="1:19" ht="15.75" thickBot="1" x14ac:dyDescent="0.3">
      <c r="A5" s="352" t="s">
        <v>631</v>
      </c>
      <c r="B5" s="358" t="e">
        <f ca="1">IF(((ALLACC-((MPEAK*ACCTM)*12))/12)/MPEAK&gt;0,((ALLACC-((MPEAK*ACCTM)*12))/12)/MPEAK,0)</f>
        <v>#N/A</v>
      </c>
      <c r="C5" s="50" t="e">
        <f t="shared" ref="C5:I5" ca="1" si="4">IF(C3&gt;ALLACC,((C3-ALLACC)/12)/vel,0)</f>
        <v>#N/A</v>
      </c>
      <c r="D5" s="50" t="e">
        <f t="shared" ca="1" si="4"/>
        <v>#N/A</v>
      </c>
      <c r="E5" s="50" t="e">
        <f t="shared" ca="1" si="4"/>
        <v>#N/A</v>
      </c>
      <c r="F5" s="50" t="e">
        <f t="shared" ca="1" si="4"/>
        <v>#N/A</v>
      </c>
      <c r="G5" s="50" t="e">
        <f t="shared" ca="1" si="4"/>
        <v>#N/A</v>
      </c>
      <c r="H5" s="50" t="e">
        <f t="shared" ca="1" si="4"/>
        <v>#N/A</v>
      </c>
      <c r="I5" s="359" t="e">
        <f t="shared" ca="1" si="4"/>
        <v>#N/A</v>
      </c>
      <c r="K5" s="352" t="s">
        <v>631</v>
      </c>
      <c r="L5" s="358" t="e">
        <f ca="1">IF(((ALLACC_2-((MPEAK*ACCTM_2)*12))/12)/MPEAK&gt;0,((ALLACC_2-((MPEAK*ACCTM_2)*12))/12)/MPEAK,0)</f>
        <v>#N/A</v>
      </c>
      <c r="M5" s="50" t="e">
        <f t="shared" ref="M5:S5" ca="1" si="5">IF(M3&gt;ALLACC_2,((M3-ALLACC_2)/12)/vel,0)</f>
        <v>#N/A</v>
      </c>
      <c r="N5" s="50" t="e">
        <f t="shared" ca="1" si="5"/>
        <v>#N/A</v>
      </c>
      <c r="O5" s="50" t="e">
        <f t="shared" ca="1" si="5"/>
        <v>#N/A</v>
      </c>
      <c r="P5" s="50" t="e">
        <f t="shared" ca="1" si="5"/>
        <v>#N/A</v>
      </c>
      <c r="Q5" s="50" t="e">
        <f t="shared" ca="1" si="5"/>
        <v>#N/A</v>
      </c>
      <c r="R5" s="50" t="e">
        <f t="shared" ca="1" si="5"/>
        <v>#N/A</v>
      </c>
      <c r="S5" s="50" t="e">
        <f t="shared" ca="1" si="5"/>
        <v>#N/A</v>
      </c>
    </row>
    <row r="6" spans="1:19" ht="15.75" thickBot="1" x14ac:dyDescent="0.3">
      <c r="A6" s="352" t="s">
        <v>632</v>
      </c>
      <c r="B6" s="360" t="e">
        <f ca="1">CYCTM-MOVTM</f>
        <v>#N/A</v>
      </c>
      <c r="C6" s="55" t="e">
        <f t="shared" ref="C6:I6" ca="1" si="6">C9-C8</f>
        <v>#N/A</v>
      </c>
      <c r="D6" s="55" t="e">
        <f t="shared" ca="1" si="6"/>
        <v>#N/A</v>
      </c>
      <c r="E6" s="55" t="e">
        <f t="shared" ca="1" si="6"/>
        <v>#N/A</v>
      </c>
      <c r="F6" s="55" t="e">
        <f t="shared" ca="1" si="6"/>
        <v>#N/A</v>
      </c>
      <c r="G6" s="55" t="e">
        <f t="shared" ca="1" si="6"/>
        <v>#N/A</v>
      </c>
      <c r="H6" s="55" t="e">
        <f t="shared" ca="1" si="6"/>
        <v>#N/A</v>
      </c>
      <c r="I6" s="206" t="e">
        <f t="shared" ca="1" si="6"/>
        <v>#N/A</v>
      </c>
      <c r="K6" s="352" t="s">
        <v>632</v>
      </c>
      <c r="L6" s="360" t="e">
        <f ca="1">CYCTM_2-MOVTM_2</f>
        <v>#N/A</v>
      </c>
      <c r="M6" s="55" t="e">
        <f t="shared" ref="M6:S6" ca="1" si="7">M9-M8</f>
        <v>#N/A</v>
      </c>
      <c r="N6" s="55" t="e">
        <f t="shared" ca="1" si="7"/>
        <v>#N/A</v>
      </c>
      <c r="O6" s="55" t="e">
        <f t="shared" ca="1" si="7"/>
        <v>#N/A</v>
      </c>
      <c r="P6" s="55" t="e">
        <f t="shared" ca="1" si="7"/>
        <v>#N/A</v>
      </c>
      <c r="Q6" s="55" t="e">
        <f t="shared" ca="1" si="7"/>
        <v>#N/A</v>
      </c>
      <c r="R6" s="55" t="e">
        <f t="shared" ca="1" si="7"/>
        <v>#N/A</v>
      </c>
      <c r="S6" s="206" t="e">
        <f t="shared" ca="1" si="7"/>
        <v>#N/A</v>
      </c>
    </row>
    <row r="7" spans="1:19" ht="15.75" thickBot="1" x14ac:dyDescent="0.3">
      <c r="A7" s="352" t="s">
        <v>85</v>
      </c>
      <c r="B7" s="360" t="e">
        <f ca="1">vel/ACCEL</f>
        <v>#N/A</v>
      </c>
      <c r="C7" s="55" t="e">
        <f t="shared" ref="C7:I7" ca="1" si="8">IF(C3&gt;ALLACC,ACCTM,SQRT((C3/12)/ACCEL))</f>
        <v>#N/A</v>
      </c>
      <c r="D7" s="55" t="e">
        <f t="shared" ca="1" si="8"/>
        <v>#N/A</v>
      </c>
      <c r="E7" s="55" t="e">
        <f t="shared" ca="1" si="8"/>
        <v>#N/A</v>
      </c>
      <c r="F7" s="55" t="e">
        <f t="shared" ca="1" si="8"/>
        <v>#N/A</v>
      </c>
      <c r="G7" s="55" t="e">
        <f t="shared" ca="1" si="8"/>
        <v>#N/A</v>
      </c>
      <c r="H7" s="55" t="e">
        <f t="shared" ca="1" si="8"/>
        <v>#N/A</v>
      </c>
      <c r="I7" s="206" t="e">
        <f t="shared" ca="1" si="8"/>
        <v>#N/A</v>
      </c>
      <c r="K7" s="352" t="s">
        <v>85</v>
      </c>
      <c r="L7" s="360" t="e">
        <f ca="1">vel/ACCEL</f>
        <v>#N/A</v>
      </c>
      <c r="M7" s="55" t="e">
        <f t="shared" ref="M7:S7" ca="1" si="9">IF(M3&gt;ALLACC_2,ACCTM_2,SQRT((M3/12)/ACCEL))</f>
        <v>#N/A</v>
      </c>
      <c r="N7" s="55" t="e">
        <f t="shared" ca="1" si="9"/>
        <v>#N/A</v>
      </c>
      <c r="O7" s="55" t="e">
        <f t="shared" ca="1" si="9"/>
        <v>#N/A</v>
      </c>
      <c r="P7" s="55" t="e">
        <f t="shared" ca="1" si="9"/>
        <v>#N/A</v>
      </c>
      <c r="Q7" s="55" t="e">
        <f t="shared" ca="1" si="9"/>
        <v>#N/A</v>
      </c>
      <c r="R7" s="55" t="e">
        <f t="shared" ca="1" si="9"/>
        <v>#N/A</v>
      </c>
      <c r="S7" s="55" t="e">
        <f t="shared" ca="1" si="9"/>
        <v>#N/A</v>
      </c>
    </row>
    <row r="8" spans="1:19" ht="15.75" thickBot="1" x14ac:dyDescent="0.3">
      <c r="A8" s="352" t="s">
        <v>633</v>
      </c>
      <c r="B8" s="360" t="e">
        <f ca="1">((ACCTM*2)+B5+SETTM)</f>
        <v>#N/A</v>
      </c>
      <c r="C8" s="55" t="e">
        <f t="shared" ref="C8:I8" ca="1" si="10">(C7*2)+C5+SETTM</f>
        <v>#N/A</v>
      </c>
      <c r="D8" s="55" t="e">
        <f t="shared" ca="1" si="10"/>
        <v>#N/A</v>
      </c>
      <c r="E8" s="55" t="e">
        <f t="shared" ca="1" si="10"/>
        <v>#N/A</v>
      </c>
      <c r="F8" s="55" t="e">
        <f t="shared" ca="1" si="10"/>
        <v>#N/A</v>
      </c>
      <c r="G8" s="55" t="e">
        <f t="shared" ca="1" si="10"/>
        <v>#N/A</v>
      </c>
      <c r="H8" s="55" t="e">
        <f t="shared" ca="1" si="10"/>
        <v>#N/A</v>
      </c>
      <c r="I8" s="206" t="e">
        <f t="shared" ca="1" si="10"/>
        <v>#N/A</v>
      </c>
      <c r="K8" s="352" t="s">
        <v>633</v>
      </c>
      <c r="L8" s="360" t="e">
        <f ca="1">((ACCTM*2)+L5+SETTM)</f>
        <v>#N/A</v>
      </c>
      <c r="M8" s="55" t="e">
        <f t="shared" ref="M8:S8" ca="1" si="11">(M7*2)+M5+SETTM</f>
        <v>#N/A</v>
      </c>
      <c r="N8" s="55" t="e">
        <f t="shared" ca="1" si="11"/>
        <v>#N/A</v>
      </c>
      <c r="O8" s="55" t="e">
        <f t="shared" ca="1" si="11"/>
        <v>#N/A</v>
      </c>
      <c r="P8" s="55" t="e">
        <f t="shared" ca="1" si="11"/>
        <v>#N/A</v>
      </c>
      <c r="Q8" s="55" t="e">
        <f t="shared" ca="1" si="11"/>
        <v>#N/A</v>
      </c>
      <c r="R8" s="55" t="e">
        <f t="shared" ca="1" si="11"/>
        <v>#N/A</v>
      </c>
      <c r="S8" s="206" t="e">
        <f t="shared" ca="1" si="11"/>
        <v>#N/A</v>
      </c>
    </row>
    <row r="9" spans="1:19" ht="15.75" thickBot="1" x14ac:dyDescent="0.3">
      <c r="A9" s="352" t="s">
        <v>634</v>
      </c>
      <c r="B9" s="360" t="e">
        <f ca="1">IF(application="Press Feed",MOVTM*(360/FA),MOVTM+FA)</f>
        <v>#N/A</v>
      </c>
      <c r="C9" s="55" t="e">
        <f t="shared" ref="C9:I9" ca="1" si="12">IF(application="Press Feed",C8*(360/FA),C8+FA)</f>
        <v>#N/A</v>
      </c>
      <c r="D9" s="55" t="e">
        <f t="shared" ca="1" si="12"/>
        <v>#N/A</v>
      </c>
      <c r="E9" s="55" t="e">
        <f t="shared" ca="1" si="12"/>
        <v>#N/A</v>
      </c>
      <c r="F9" s="55" t="e">
        <f t="shared" ca="1" si="12"/>
        <v>#N/A</v>
      </c>
      <c r="G9" s="55" t="e">
        <f t="shared" ca="1" si="12"/>
        <v>#N/A</v>
      </c>
      <c r="H9" s="55" t="e">
        <f t="shared" ca="1" si="12"/>
        <v>#N/A</v>
      </c>
      <c r="I9" s="55" t="e">
        <f t="shared" ca="1" si="12"/>
        <v>#N/A</v>
      </c>
      <c r="K9" s="352" t="s">
        <v>634</v>
      </c>
      <c r="L9" s="360" t="e">
        <f ca="1">IF(application="Press Feed",MOVTM_2*(360/FA_2),MOVTM_2+FA_2)</f>
        <v>#N/A</v>
      </c>
      <c r="M9" s="55" t="e">
        <f t="shared" ref="M9:S9" ca="1" si="13">IF(application="Press Feed",M8*(360/FA_2),M8+FA_2)</f>
        <v>#N/A</v>
      </c>
      <c r="N9" s="55" t="e">
        <f t="shared" ca="1" si="13"/>
        <v>#N/A</v>
      </c>
      <c r="O9" s="55" t="e">
        <f t="shared" ca="1" si="13"/>
        <v>#N/A</v>
      </c>
      <c r="P9" s="55" t="e">
        <f t="shared" ca="1" si="13"/>
        <v>#N/A</v>
      </c>
      <c r="Q9" s="55" t="e">
        <f t="shared" ca="1" si="13"/>
        <v>#N/A</v>
      </c>
      <c r="R9" s="55" t="e">
        <f t="shared" ca="1" si="13"/>
        <v>#N/A</v>
      </c>
      <c r="S9" s="55" t="e">
        <f t="shared" ca="1" si="13"/>
        <v>#N/A</v>
      </c>
    </row>
    <row r="10" spans="1:19" ht="15.75" thickBot="1" x14ac:dyDescent="0.3">
      <c r="A10" s="352" t="s">
        <v>635</v>
      </c>
      <c r="B10" s="361" t="e">
        <f ca="1">60/CYCTM</f>
        <v>#N/A</v>
      </c>
      <c r="C10" s="233" t="e">
        <f t="shared" ref="C10:I10" ca="1" si="14">IF(60/C9*C3&lt;StrMaxSpInch,ROUNDDOWN(60/C9,0),ROUNDDOWN(StrMaxSpInch/C3,0))</f>
        <v>#N/A</v>
      </c>
      <c r="D10" s="233" t="e">
        <f t="shared" ca="1" si="14"/>
        <v>#N/A</v>
      </c>
      <c r="E10" s="233" t="e">
        <f t="shared" ca="1" si="14"/>
        <v>#N/A</v>
      </c>
      <c r="F10" s="233" t="e">
        <f t="shared" ca="1" si="14"/>
        <v>#N/A</v>
      </c>
      <c r="G10" s="233" t="e">
        <f t="shared" ca="1" si="14"/>
        <v>#N/A</v>
      </c>
      <c r="H10" s="233" t="e">
        <f t="shared" ca="1" si="14"/>
        <v>#N/A</v>
      </c>
      <c r="I10" s="233" t="e">
        <f t="shared" ca="1" si="14"/>
        <v>#N/A</v>
      </c>
      <c r="K10" s="352" t="s">
        <v>635</v>
      </c>
      <c r="L10" s="361" t="e">
        <f ca="1">60/CYCTM_2</f>
        <v>#N/A</v>
      </c>
      <c r="M10" s="233" t="e">
        <f t="shared" ref="M10:S10" ca="1" si="15">IF(60/M9*M3&lt;StrMaxSpInch,ROUNDDOWN(60/M9,0),ROUNDDOWN(StrMaxSpInch/M3,0))</f>
        <v>#N/A</v>
      </c>
      <c r="N10" s="233" t="e">
        <f t="shared" ca="1" si="15"/>
        <v>#N/A</v>
      </c>
      <c r="O10" s="233" t="e">
        <f t="shared" ca="1" si="15"/>
        <v>#N/A</v>
      </c>
      <c r="P10" s="233" t="e">
        <f t="shared" ca="1" si="15"/>
        <v>#N/A</v>
      </c>
      <c r="Q10" s="233" t="e">
        <f t="shared" ca="1" si="15"/>
        <v>#N/A</v>
      </c>
      <c r="R10" s="233" t="e">
        <f t="shared" ca="1" si="15"/>
        <v>#N/A</v>
      </c>
      <c r="S10" s="233" t="e">
        <f t="shared" ca="1" si="15"/>
        <v>#N/A</v>
      </c>
    </row>
    <row r="11" spans="1:19" ht="15.75" thickBot="1" x14ac:dyDescent="0.3">
      <c r="I11" s="201"/>
      <c r="S11" s="201"/>
    </row>
    <row r="12" spans="1:19" ht="15.75" thickBot="1" x14ac:dyDescent="0.3">
      <c r="A12" s="352" t="s">
        <v>123</v>
      </c>
      <c r="B12" s="354">
        <f ca="1">I3+INCR</f>
        <v>32</v>
      </c>
      <c r="C12" s="354">
        <f t="shared" ref="C12:I12" ca="1" si="16">B12+INCR</f>
        <v>36</v>
      </c>
      <c r="D12" s="354">
        <f t="shared" ca="1" si="16"/>
        <v>40</v>
      </c>
      <c r="E12" s="354">
        <f t="shared" ca="1" si="16"/>
        <v>44</v>
      </c>
      <c r="F12" s="354">
        <f t="shared" ca="1" si="16"/>
        <v>48</v>
      </c>
      <c r="G12" s="354">
        <f t="shared" ca="1" si="16"/>
        <v>52</v>
      </c>
      <c r="H12" s="354">
        <f t="shared" ca="1" si="16"/>
        <v>56</v>
      </c>
      <c r="I12" s="354">
        <f t="shared" ca="1" si="16"/>
        <v>60</v>
      </c>
      <c r="K12" s="352" t="s">
        <v>123</v>
      </c>
      <c r="L12" s="354">
        <f ca="1">S3+INCR</f>
        <v>32</v>
      </c>
      <c r="M12" s="354">
        <f t="shared" ref="M12:S12" ca="1" si="17">L12+INCR</f>
        <v>36</v>
      </c>
      <c r="N12" s="354">
        <f t="shared" ca="1" si="17"/>
        <v>40</v>
      </c>
      <c r="O12" s="354">
        <f t="shared" ca="1" si="17"/>
        <v>44</v>
      </c>
      <c r="P12" s="354">
        <f t="shared" ca="1" si="17"/>
        <v>48</v>
      </c>
      <c r="Q12" s="354">
        <f t="shared" ca="1" si="17"/>
        <v>52</v>
      </c>
      <c r="R12" s="354">
        <f t="shared" ca="1" si="17"/>
        <v>56</v>
      </c>
      <c r="S12" s="354">
        <f t="shared" ca="1" si="17"/>
        <v>60</v>
      </c>
    </row>
    <row r="13" spans="1:19" ht="15.75" thickBot="1" x14ac:dyDescent="0.3">
      <c r="A13" s="352" t="s">
        <v>630</v>
      </c>
      <c r="B13" s="355" t="e">
        <f t="shared" ref="B13:I13" ca="1" si="18">SQRT((((PEAKTQ^2)*B16)+((ACCTQ^2)*B16)+(((FRICTQ+LOOPTQ)^2)*B14)+((SETTQ^2)*SETTM)+((LOOPTQ^2)*B15))/B18)</f>
        <v>#N/A</v>
      </c>
      <c r="C13" s="356" t="e">
        <f t="shared" ca="1" si="18"/>
        <v>#N/A</v>
      </c>
      <c r="D13" s="356" t="e">
        <f t="shared" ca="1" si="18"/>
        <v>#N/A</v>
      </c>
      <c r="E13" s="356" t="e">
        <f t="shared" ca="1" si="18"/>
        <v>#N/A</v>
      </c>
      <c r="F13" s="356" t="e">
        <f t="shared" ca="1" si="18"/>
        <v>#N/A</v>
      </c>
      <c r="G13" s="356" t="e">
        <f t="shared" ca="1" si="18"/>
        <v>#N/A</v>
      </c>
      <c r="H13" s="356" t="e">
        <f t="shared" ca="1" si="18"/>
        <v>#N/A</v>
      </c>
      <c r="I13" s="357" t="e">
        <f t="shared" ca="1" si="18"/>
        <v>#N/A</v>
      </c>
      <c r="K13" s="352" t="s">
        <v>630</v>
      </c>
      <c r="L13" s="355" t="e">
        <f t="shared" ref="L13:S13" ca="1" si="19">SQRT((((PEAKTQ^2)*L16)+((ACCTQ^2)*L16)+(((FRICTQ+LOOPTQ)^2)*L14)+((SETTQ^2)*SETTM)+((LOOPTQ^2)*L15))/L18)</f>
        <v>#N/A</v>
      </c>
      <c r="M13" s="356" t="e">
        <f t="shared" ca="1" si="19"/>
        <v>#N/A</v>
      </c>
      <c r="N13" s="356" t="e">
        <f t="shared" ca="1" si="19"/>
        <v>#N/A</v>
      </c>
      <c r="O13" s="356" t="e">
        <f t="shared" ca="1" si="19"/>
        <v>#N/A</v>
      </c>
      <c r="P13" s="356" t="e">
        <f t="shared" ca="1" si="19"/>
        <v>#N/A</v>
      </c>
      <c r="Q13" s="356" t="e">
        <f t="shared" ca="1" si="19"/>
        <v>#N/A</v>
      </c>
      <c r="R13" s="356" t="e">
        <f t="shared" ca="1" si="19"/>
        <v>#N/A</v>
      </c>
      <c r="S13" s="357" t="e">
        <f t="shared" ca="1" si="19"/>
        <v>#N/A</v>
      </c>
    </row>
    <row r="14" spans="1:19" ht="15.75" thickBot="1" x14ac:dyDescent="0.3">
      <c r="A14" s="352" t="s">
        <v>631</v>
      </c>
      <c r="B14" s="360" t="e">
        <f t="shared" ref="B14:I14" ca="1" si="20">IF(B12&gt;ALLACC,((B12-ALLACC)/12)/vel,0)</f>
        <v>#N/A</v>
      </c>
      <c r="C14" s="55" t="e">
        <f t="shared" ca="1" si="20"/>
        <v>#N/A</v>
      </c>
      <c r="D14" s="55" t="e">
        <f t="shared" ca="1" si="20"/>
        <v>#N/A</v>
      </c>
      <c r="E14" s="55" t="e">
        <f t="shared" ca="1" si="20"/>
        <v>#N/A</v>
      </c>
      <c r="F14" s="55" t="e">
        <f t="shared" ca="1" si="20"/>
        <v>#N/A</v>
      </c>
      <c r="G14" s="55" t="e">
        <f t="shared" ca="1" si="20"/>
        <v>#N/A</v>
      </c>
      <c r="H14" s="55" t="e">
        <f t="shared" ca="1" si="20"/>
        <v>#N/A</v>
      </c>
      <c r="I14" s="206" t="e">
        <f t="shared" ca="1" si="20"/>
        <v>#N/A</v>
      </c>
      <c r="K14" s="352" t="s">
        <v>631</v>
      </c>
      <c r="L14" s="360" t="e">
        <f t="shared" ref="L14:S14" ca="1" si="21">IF(L12&gt;ALLACC_2,((L12-ALLACC_2)/12)/vel,0)</f>
        <v>#N/A</v>
      </c>
      <c r="M14" s="360" t="e">
        <f t="shared" ca="1" si="21"/>
        <v>#N/A</v>
      </c>
      <c r="N14" s="360" t="e">
        <f t="shared" ca="1" si="21"/>
        <v>#N/A</v>
      </c>
      <c r="O14" s="360" t="e">
        <f t="shared" ca="1" si="21"/>
        <v>#N/A</v>
      </c>
      <c r="P14" s="360" t="e">
        <f t="shared" ca="1" si="21"/>
        <v>#N/A</v>
      </c>
      <c r="Q14" s="360" t="e">
        <f t="shared" ca="1" si="21"/>
        <v>#N/A</v>
      </c>
      <c r="R14" s="360" t="e">
        <f t="shared" ca="1" si="21"/>
        <v>#N/A</v>
      </c>
      <c r="S14" s="360" t="e">
        <f t="shared" ca="1" si="21"/>
        <v>#N/A</v>
      </c>
    </row>
    <row r="15" spans="1:19" ht="15.75" thickBot="1" x14ac:dyDescent="0.3">
      <c r="A15" s="352" t="s">
        <v>632</v>
      </c>
      <c r="B15" s="360" t="e">
        <f t="shared" ref="B15:I15" ca="1" si="22">B18-B17</f>
        <v>#N/A</v>
      </c>
      <c r="C15" s="55" t="e">
        <f t="shared" ca="1" si="22"/>
        <v>#N/A</v>
      </c>
      <c r="D15" s="55" t="e">
        <f t="shared" ca="1" si="22"/>
        <v>#N/A</v>
      </c>
      <c r="E15" s="55" t="e">
        <f t="shared" ca="1" si="22"/>
        <v>#N/A</v>
      </c>
      <c r="F15" s="55" t="e">
        <f t="shared" ca="1" si="22"/>
        <v>#N/A</v>
      </c>
      <c r="G15" s="55" t="e">
        <f t="shared" ca="1" si="22"/>
        <v>#N/A</v>
      </c>
      <c r="H15" s="55" t="e">
        <f t="shared" ca="1" si="22"/>
        <v>#N/A</v>
      </c>
      <c r="I15" s="206" t="e">
        <f t="shared" ca="1" si="22"/>
        <v>#N/A</v>
      </c>
      <c r="K15" s="352" t="s">
        <v>632</v>
      </c>
      <c r="L15" s="360" t="e">
        <f t="shared" ref="L15:S15" ca="1" si="23">L18-L17</f>
        <v>#N/A</v>
      </c>
      <c r="M15" s="55" t="e">
        <f t="shared" ca="1" si="23"/>
        <v>#N/A</v>
      </c>
      <c r="N15" s="55" t="e">
        <f t="shared" ca="1" si="23"/>
        <v>#N/A</v>
      </c>
      <c r="O15" s="55" t="e">
        <f t="shared" ca="1" si="23"/>
        <v>#N/A</v>
      </c>
      <c r="P15" s="55" t="e">
        <f t="shared" ca="1" si="23"/>
        <v>#N/A</v>
      </c>
      <c r="Q15" s="55" t="e">
        <f t="shared" ca="1" si="23"/>
        <v>#N/A</v>
      </c>
      <c r="R15" s="55" t="e">
        <f t="shared" ca="1" si="23"/>
        <v>#N/A</v>
      </c>
      <c r="S15" s="206" t="e">
        <f t="shared" ca="1" si="23"/>
        <v>#N/A</v>
      </c>
    </row>
    <row r="16" spans="1:19" ht="15.75" thickBot="1" x14ac:dyDescent="0.3">
      <c r="A16" s="352" t="s">
        <v>85</v>
      </c>
      <c r="B16" s="360" t="e">
        <f t="shared" ref="B16:I16" ca="1" si="24">IF(B12&gt;ALLACC,ACCTM,SQRT((B12/12)/ACCEL))</f>
        <v>#N/A</v>
      </c>
      <c r="C16" s="55" t="e">
        <f t="shared" ca="1" si="24"/>
        <v>#N/A</v>
      </c>
      <c r="D16" s="55" t="e">
        <f t="shared" ca="1" si="24"/>
        <v>#N/A</v>
      </c>
      <c r="E16" s="55" t="e">
        <f t="shared" ca="1" si="24"/>
        <v>#N/A</v>
      </c>
      <c r="F16" s="55" t="e">
        <f t="shared" ca="1" si="24"/>
        <v>#N/A</v>
      </c>
      <c r="G16" s="55" t="e">
        <f t="shared" ca="1" si="24"/>
        <v>#N/A</v>
      </c>
      <c r="H16" s="55" t="e">
        <f t="shared" ca="1" si="24"/>
        <v>#N/A</v>
      </c>
      <c r="I16" s="206" t="e">
        <f t="shared" ca="1" si="24"/>
        <v>#N/A</v>
      </c>
      <c r="K16" s="352" t="s">
        <v>85</v>
      </c>
      <c r="L16" s="360" t="e">
        <f t="shared" ref="L16:S16" ca="1" si="25">IF(L12&gt;ALLACC_2,ACCTM_2,SQRT((L12/12)/ACCEL))</f>
        <v>#N/A</v>
      </c>
      <c r="M16" s="360" t="e">
        <f t="shared" ca="1" si="25"/>
        <v>#N/A</v>
      </c>
      <c r="N16" s="360" t="e">
        <f t="shared" ca="1" si="25"/>
        <v>#N/A</v>
      </c>
      <c r="O16" s="360" t="e">
        <f t="shared" ca="1" si="25"/>
        <v>#N/A</v>
      </c>
      <c r="P16" s="360" t="e">
        <f t="shared" ca="1" si="25"/>
        <v>#N/A</v>
      </c>
      <c r="Q16" s="360" t="e">
        <f t="shared" ca="1" si="25"/>
        <v>#N/A</v>
      </c>
      <c r="R16" s="360" t="e">
        <f t="shared" ca="1" si="25"/>
        <v>#N/A</v>
      </c>
      <c r="S16" s="360" t="e">
        <f t="shared" ca="1" si="25"/>
        <v>#N/A</v>
      </c>
    </row>
    <row r="17" spans="1:19" ht="15.75" thickBot="1" x14ac:dyDescent="0.3">
      <c r="A17" s="352" t="s">
        <v>633</v>
      </c>
      <c r="B17" s="360" t="e">
        <f t="shared" ref="B17:I17" ca="1" si="26">(B16*2)+B14+SETTM</f>
        <v>#N/A</v>
      </c>
      <c r="C17" s="55" t="e">
        <f t="shared" ca="1" si="26"/>
        <v>#N/A</v>
      </c>
      <c r="D17" s="55" t="e">
        <f t="shared" ca="1" si="26"/>
        <v>#N/A</v>
      </c>
      <c r="E17" s="55" t="e">
        <f t="shared" ca="1" si="26"/>
        <v>#N/A</v>
      </c>
      <c r="F17" s="55" t="e">
        <f t="shared" ca="1" si="26"/>
        <v>#N/A</v>
      </c>
      <c r="G17" s="55" t="e">
        <f t="shared" ca="1" si="26"/>
        <v>#N/A</v>
      </c>
      <c r="H17" s="55" t="e">
        <f t="shared" ca="1" si="26"/>
        <v>#N/A</v>
      </c>
      <c r="I17" s="206" t="e">
        <f t="shared" ca="1" si="26"/>
        <v>#N/A</v>
      </c>
      <c r="K17" s="352" t="s">
        <v>633</v>
      </c>
      <c r="L17" s="360" t="e">
        <f t="shared" ref="L17:S17" ca="1" si="27">(L16*2)+L14+SETTM</f>
        <v>#N/A</v>
      </c>
      <c r="M17" s="55" t="e">
        <f t="shared" ca="1" si="27"/>
        <v>#N/A</v>
      </c>
      <c r="N17" s="55" t="e">
        <f t="shared" ca="1" si="27"/>
        <v>#N/A</v>
      </c>
      <c r="O17" s="55" t="e">
        <f t="shared" ca="1" si="27"/>
        <v>#N/A</v>
      </c>
      <c r="P17" s="55" t="e">
        <f t="shared" ca="1" si="27"/>
        <v>#N/A</v>
      </c>
      <c r="Q17" s="55" t="e">
        <f t="shared" ca="1" si="27"/>
        <v>#N/A</v>
      </c>
      <c r="R17" s="55" t="e">
        <f t="shared" ca="1" si="27"/>
        <v>#N/A</v>
      </c>
      <c r="S17" s="206" t="e">
        <f t="shared" ca="1" si="27"/>
        <v>#N/A</v>
      </c>
    </row>
    <row r="18" spans="1:19" ht="15.75" thickBot="1" x14ac:dyDescent="0.3">
      <c r="A18" s="352" t="s">
        <v>634</v>
      </c>
      <c r="B18" s="360" t="e">
        <f t="shared" ref="B18:I18" ca="1" si="28">IF(application="Press Feed",B17*(360/FA),B17+FA)</f>
        <v>#N/A</v>
      </c>
      <c r="C18" s="360" t="e">
        <f t="shared" ca="1" si="28"/>
        <v>#N/A</v>
      </c>
      <c r="D18" s="360" t="e">
        <f t="shared" ca="1" si="28"/>
        <v>#N/A</v>
      </c>
      <c r="E18" s="360" t="e">
        <f t="shared" ca="1" si="28"/>
        <v>#N/A</v>
      </c>
      <c r="F18" s="360" t="e">
        <f t="shared" ca="1" si="28"/>
        <v>#N/A</v>
      </c>
      <c r="G18" s="360" t="e">
        <f t="shared" ca="1" si="28"/>
        <v>#N/A</v>
      </c>
      <c r="H18" s="360" t="e">
        <f t="shared" ca="1" si="28"/>
        <v>#N/A</v>
      </c>
      <c r="I18" s="360" t="e">
        <f t="shared" ca="1" si="28"/>
        <v>#N/A</v>
      </c>
      <c r="K18" s="352" t="s">
        <v>634</v>
      </c>
      <c r="L18" s="360" t="e">
        <f t="shared" ref="L18:S18" ca="1" si="29">IF(application="Press Feed",L17*(360/FA_2),L17+FA_2)</f>
        <v>#N/A</v>
      </c>
      <c r="M18" s="360" t="e">
        <f t="shared" ca="1" si="29"/>
        <v>#N/A</v>
      </c>
      <c r="N18" s="360" t="e">
        <f t="shared" ca="1" si="29"/>
        <v>#N/A</v>
      </c>
      <c r="O18" s="360" t="e">
        <f t="shared" ca="1" si="29"/>
        <v>#N/A</v>
      </c>
      <c r="P18" s="360" t="e">
        <f t="shared" ca="1" si="29"/>
        <v>#N/A</v>
      </c>
      <c r="Q18" s="360" t="e">
        <f t="shared" ca="1" si="29"/>
        <v>#N/A</v>
      </c>
      <c r="R18" s="360" t="e">
        <f t="shared" ca="1" si="29"/>
        <v>#N/A</v>
      </c>
      <c r="S18" s="360" t="e">
        <f t="shared" ca="1" si="29"/>
        <v>#N/A</v>
      </c>
    </row>
    <row r="19" spans="1:19" ht="15.75" thickBot="1" x14ac:dyDescent="0.3">
      <c r="A19" s="352" t="s">
        <v>635</v>
      </c>
      <c r="B19" s="362" t="e">
        <f t="shared" ref="B19:I19" ca="1" si="30">IF(60/B18*B12&lt;StrMaxSpInch,ROUNDDOWN(60/B18,0),ROUNDDOWN(StrMaxSpInch/B12,0))</f>
        <v>#N/A</v>
      </c>
      <c r="C19" s="362" t="e">
        <f t="shared" ca="1" si="30"/>
        <v>#N/A</v>
      </c>
      <c r="D19" s="362" t="e">
        <f t="shared" ca="1" si="30"/>
        <v>#N/A</v>
      </c>
      <c r="E19" s="362" t="e">
        <f t="shared" ca="1" si="30"/>
        <v>#N/A</v>
      </c>
      <c r="F19" s="362" t="e">
        <f t="shared" ca="1" si="30"/>
        <v>#N/A</v>
      </c>
      <c r="G19" s="362" t="e">
        <f t="shared" ca="1" si="30"/>
        <v>#N/A</v>
      </c>
      <c r="H19" s="362" t="e">
        <f t="shared" ca="1" si="30"/>
        <v>#N/A</v>
      </c>
      <c r="I19" s="362" t="e">
        <f t="shared" ca="1" si="30"/>
        <v>#N/A</v>
      </c>
      <c r="K19" s="352" t="s">
        <v>635</v>
      </c>
      <c r="L19" s="362" t="e">
        <f t="shared" ref="L19:S19" ca="1" si="31">IF(60/L18*L12&lt;StrMaxSpInch,ROUNDDOWN(60/L18,0),ROUNDDOWN(StrMaxSpInch/L12,0))</f>
        <v>#N/A</v>
      </c>
      <c r="M19" s="362" t="e">
        <f t="shared" ca="1" si="31"/>
        <v>#N/A</v>
      </c>
      <c r="N19" s="362" t="e">
        <f t="shared" ca="1" si="31"/>
        <v>#N/A</v>
      </c>
      <c r="O19" s="362" t="e">
        <f t="shared" ca="1" si="31"/>
        <v>#N/A</v>
      </c>
      <c r="P19" s="362" t="e">
        <f t="shared" ca="1" si="31"/>
        <v>#N/A</v>
      </c>
      <c r="Q19" s="362" t="e">
        <f t="shared" ca="1" si="31"/>
        <v>#N/A</v>
      </c>
      <c r="R19" s="362" t="e">
        <f t="shared" ca="1" si="31"/>
        <v>#N/A</v>
      </c>
      <c r="S19" s="362" t="e">
        <f t="shared" ca="1" si="31"/>
        <v>#N/A</v>
      </c>
    </row>
    <row r="20" spans="1:19" ht="15.75" thickBot="1" x14ac:dyDescent="0.3">
      <c r="I20" s="201"/>
      <c r="S20" s="201"/>
    </row>
    <row r="21" spans="1:19" ht="15.75" thickBot="1" x14ac:dyDescent="0.3">
      <c r="A21" s="352" t="s">
        <v>123</v>
      </c>
      <c r="B21" s="363">
        <f ca="1">I12+INCR</f>
        <v>64</v>
      </c>
      <c r="C21" s="354">
        <f t="shared" ref="C21:I21" ca="1" si="32">B21+INCR</f>
        <v>68</v>
      </c>
      <c r="D21" s="354">
        <f t="shared" ca="1" si="32"/>
        <v>72</v>
      </c>
      <c r="E21" s="354">
        <f t="shared" ca="1" si="32"/>
        <v>76</v>
      </c>
      <c r="F21" s="354">
        <f t="shared" ca="1" si="32"/>
        <v>80</v>
      </c>
      <c r="G21" s="354">
        <f t="shared" ca="1" si="32"/>
        <v>84</v>
      </c>
      <c r="H21" s="354">
        <f t="shared" ca="1" si="32"/>
        <v>88</v>
      </c>
      <c r="I21" s="354">
        <f t="shared" ca="1" si="32"/>
        <v>92</v>
      </c>
      <c r="K21" s="352" t="s">
        <v>123</v>
      </c>
      <c r="L21" s="363">
        <f ca="1">S12+INCR</f>
        <v>64</v>
      </c>
      <c r="M21" s="354">
        <f t="shared" ref="M21:S21" ca="1" si="33">L21+INCR</f>
        <v>68</v>
      </c>
      <c r="N21" s="354">
        <f t="shared" ca="1" si="33"/>
        <v>72</v>
      </c>
      <c r="O21" s="354">
        <f t="shared" ca="1" si="33"/>
        <v>76</v>
      </c>
      <c r="P21" s="354">
        <f t="shared" ca="1" si="33"/>
        <v>80</v>
      </c>
      <c r="Q21" s="354">
        <f t="shared" ca="1" si="33"/>
        <v>84</v>
      </c>
      <c r="R21" s="354">
        <f t="shared" ca="1" si="33"/>
        <v>88</v>
      </c>
      <c r="S21" s="354">
        <f t="shared" ca="1" si="33"/>
        <v>92</v>
      </c>
    </row>
    <row r="22" spans="1:19" ht="15.75" thickBot="1" x14ac:dyDescent="0.3">
      <c r="A22" s="352" t="s">
        <v>630</v>
      </c>
      <c r="B22" s="355" t="e">
        <f t="shared" ref="B22:I22" ca="1" si="34">SQRT((((PEAKTQ^2)*B25)+((ACCTQ^2)*B25)+(((FRICTQ+LOOPTQ)^2)*B23)+((SETTQ^2)*SETTM)+((LOOPTQ^2)*B24))/B27)</f>
        <v>#N/A</v>
      </c>
      <c r="C22" s="356" t="e">
        <f t="shared" ca="1" si="34"/>
        <v>#N/A</v>
      </c>
      <c r="D22" s="356" t="e">
        <f t="shared" ca="1" si="34"/>
        <v>#N/A</v>
      </c>
      <c r="E22" s="356" t="e">
        <f t="shared" ca="1" si="34"/>
        <v>#N/A</v>
      </c>
      <c r="F22" s="356" t="e">
        <f t="shared" ca="1" si="34"/>
        <v>#N/A</v>
      </c>
      <c r="G22" s="356" t="e">
        <f t="shared" ca="1" si="34"/>
        <v>#N/A</v>
      </c>
      <c r="H22" s="356" t="e">
        <f t="shared" ca="1" si="34"/>
        <v>#N/A</v>
      </c>
      <c r="I22" s="357" t="e">
        <f t="shared" ca="1" si="34"/>
        <v>#N/A</v>
      </c>
      <c r="K22" s="352" t="s">
        <v>630</v>
      </c>
      <c r="L22" s="355" t="e">
        <f t="shared" ref="L22:S22" ca="1" si="35">SQRT((((PEAKTQ^2)*L25)+((ACCTQ^2)*L25)+(((FRICTQ+LOOPTQ)^2)*L23)+((SETTQ^2)*SETTM)+((LOOPTQ^2)*L24))/L27)</f>
        <v>#N/A</v>
      </c>
      <c r="M22" s="356" t="e">
        <f t="shared" ca="1" si="35"/>
        <v>#N/A</v>
      </c>
      <c r="N22" s="356" t="e">
        <f t="shared" ca="1" si="35"/>
        <v>#N/A</v>
      </c>
      <c r="O22" s="356" t="e">
        <f t="shared" ca="1" si="35"/>
        <v>#N/A</v>
      </c>
      <c r="P22" s="356" t="e">
        <f t="shared" ca="1" si="35"/>
        <v>#N/A</v>
      </c>
      <c r="Q22" s="356" t="e">
        <f t="shared" ca="1" si="35"/>
        <v>#N/A</v>
      </c>
      <c r="R22" s="356" t="e">
        <f t="shared" ca="1" si="35"/>
        <v>#N/A</v>
      </c>
      <c r="S22" s="357" t="e">
        <f t="shared" ca="1" si="35"/>
        <v>#N/A</v>
      </c>
    </row>
    <row r="23" spans="1:19" ht="15.75" thickBot="1" x14ac:dyDescent="0.3">
      <c r="A23" s="352" t="s">
        <v>631</v>
      </c>
      <c r="B23" s="360" t="e">
        <f t="shared" ref="B23:I23" ca="1" si="36">IF(B21&gt;ALLACC,((B21-ALLACC)/12)/vel,0)</f>
        <v>#N/A</v>
      </c>
      <c r="C23" s="55" t="e">
        <f t="shared" ca="1" si="36"/>
        <v>#N/A</v>
      </c>
      <c r="D23" s="55" t="e">
        <f t="shared" ca="1" si="36"/>
        <v>#N/A</v>
      </c>
      <c r="E23" s="55" t="e">
        <f t="shared" ca="1" si="36"/>
        <v>#N/A</v>
      </c>
      <c r="F23" s="55" t="e">
        <f t="shared" ca="1" si="36"/>
        <v>#N/A</v>
      </c>
      <c r="G23" s="55" t="e">
        <f t="shared" ca="1" si="36"/>
        <v>#N/A</v>
      </c>
      <c r="H23" s="55" t="e">
        <f t="shared" ca="1" si="36"/>
        <v>#N/A</v>
      </c>
      <c r="I23" s="206" t="e">
        <f t="shared" ca="1" si="36"/>
        <v>#N/A</v>
      </c>
      <c r="K23" s="352" t="s">
        <v>631</v>
      </c>
      <c r="L23" s="360" t="e">
        <f t="shared" ref="L23:S23" ca="1" si="37">IF(L21&gt;ALLACC_2,((L21-ALLACC_2)/12)/vel,0)</f>
        <v>#N/A</v>
      </c>
      <c r="M23" s="360" t="e">
        <f t="shared" ca="1" si="37"/>
        <v>#N/A</v>
      </c>
      <c r="N23" s="360" t="e">
        <f t="shared" ca="1" si="37"/>
        <v>#N/A</v>
      </c>
      <c r="O23" s="360" t="e">
        <f t="shared" ca="1" si="37"/>
        <v>#N/A</v>
      </c>
      <c r="P23" s="360" t="e">
        <f t="shared" ca="1" si="37"/>
        <v>#N/A</v>
      </c>
      <c r="Q23" s="360" t="e">
        <f t="shared" ca="1" si="37"/>
        <v>#N/A</v>
      </c>
      <c r="R23" s="360" t="e">
        <f t="shared" ca="1" si="37"/>
        <v>#N/A</v>
      </c>
      <c r="S23" s="360" t="e">
        <f t="shared" ca="1" si="37"/>
        <v>#N/A</v>
      </c>
    </row>
    <row r="24" spans="1:19" ht="15.75" thickBot="1" x14ac:dyDescent="0.3">
      <c r="A24" s="352" t="s">
        <v>632</v>
      </c>
      <c r="B24" s="360" t="e">
        <f t="shared" ref="B24:I24" ca="1" si="38">B27-B26</f>
        <v>#N/A</v>
      </c>
      <c r="C24" s="55" t="e">
        <f t="shared" ca="1" si="38"/>
        <v>#N/A</v>
      </c>
      <c r="D24" s="55" t="e">
        <f t="shared" ca="1" si="38"/>
        <v>#N/A</v>
      </c>
      <c r="E24" s="55" t="e">
        <f t="shared" ca="1" si="38"/>
        <v>#N/A</v>
      </c>
      <c r="F24" s="55" t="e">
        <f t="shared" ca="1" si="38"/>
        <v>#N/A</v>
      </c>
      <c r="G24" s="55" t="e">
        <f t="shared" ca="1" si="38"/>
        <v>#N/A</v>
      </c>
      <c r="H24" s="55" t="e">
        <f t="shared" ca="1" si="38"/>
        <v>#N/A</v>
      </c>
      <c r="I24" s="206" t="e">
        <f t="shared" ca="1" si="38"/>
        <v>#N/A</v>
      </c>
      <c r="K24" s="352" t="s">
        <v>632</v>
      </c>
      <c r="L24" s="360" t="e">
        <f t="shared" ref="L24:S24" ca="1" si="39">L27-L26</f>
        <v>#N/A</v>
      </c>
      <c r="M24" s="55" t="e">
        <f t="shared" ca="1" si="39"/>
        <v>#N/A</v>
      </c>
      <c r="N24" s="55" t="e">
        <f t="shared" ca="1" si="39"/>
        <v>#N/A</v>
      </c>
      <c r="O24" s="55" t="e">
        <f t="shared" ca="1" si="39"/>
        <v>#N/A</v>
      </c>
      <c r="P24" s="55" t="e">
        <f t="shared" ca="1" si="39"/>
        <v>#N/A</v>
      </c>
      <c r="Q24" s="55" t="e">
        <f t="shared" ca="1" si="39"/>
        <v>#N/A</v>
      </c>
      <c r="R24" s="55" t="e">
        <f t="shared" ca="1" si="39"/>
        <v>#N/A</v>
      </c>
      <c r="S24" s="206" t="e">
        <f t="shared" ca="1" si="39"/>
        <v>#N/A</v>
      </c>
    </row>
    <row r="25" spans="1:19" ht="15.75" thickBot="1" x14ac:dyDescent="0.3">
      <c r="A25" s="352" t="s">
        <v>85</v>
      </c>
      <c r="B25" s="360" t="e">
        <f t="shared" ref="B25:I25" ca="1" si="40">IF(B21&gt;ALLACC,ACCTM,SQRT((B21/12)/ACCEL))</f>
        <v>#N/A</v>
      </c>
      <c r="C25" s="55" t="e">
        <f t="shared" ca="1" si="40"/>
        <v>#N/A</v>
      </c>
      <c r="D25" s="55" t="e">
        <f t="shared" ca="1" si="40"/>
        <v>#N/A</v>
      </c>
      <c r="E25" s="55" t="e">
        <f t="shared" ca="1" si="40"/>
        <v>#N/A</v>
      </c>
      <c r="F25" s="55" t="e">
        <f t="shared" ca="1" si="40"/>
        <v>#N/A</v>
      </c>
      <c r="G25" s="55" t="e">
        <f t="shared" ca="1" si="40"/>
        <v>#N/A</v>
      </c>
      <c r="H25" s="55" t="e">
        <f t="shared" ca="1" si="40"/>
        <v>#N/A</v>
      </c>
      <c r="I25" s="206" t="e">
        <f t="shared" ca="1" si="40"/>
        <v>#N/A</v>
      </c>
      <c r="K25" s="352" t="s">
        <v>85</v>
      </c>
      <c r="L25" s="360" t="e">
        <f t="shared" ref="L25:S25" ca="1" si="41">IF(L21&gt;ALLACC_2,ACCTM_2,SQRT((L21/12)/ACCEL))</f>
        <v>#N/A</v>
      </c>
      <c r="M25" s="360" t="e">
        <f t="shared" ca="1" si="41"/>
        <v>#N/A</v>
      </c>
      <c r="N25" s="360" t="e">
        <f t="shared" ca="1" si="41"/>
        <v>#N/A</v>
      </c>
      <c r="O25" s="360" t="e">
        <f t="shared" ca="1" si="41"/>
        <v>#N/A</v>
      </c>
      <c r="P25" s="360" t="e">
        <f t="shared" ca="1" si="41"/>
        <v>#N/A</v>
      </c>
      <c r="Q25" s="360" t="e">
        <f t="shared" ca="1" si="41"/>
        <v>#N/A</v>
      </c>
      <c r="R25" s="360" t="e">
        <f t="shared" ca="1" si="41"/>
        <v>#N/A</v>
      </c>
      <c r="S25" s="360" t="e">
        <f t="shared" ca="1" si="41"/>
        <v>#N/A</v>
      </c>
    </row>
    <row r="26" spans="1:19" ht="15.75" thickBot="1" x14ac:dyDescent="0.3">
      <c r="A26" s="352" t="s">
        <v>633</v>
      </c>
      <c r="B26" s="360" t="e">
        <f t="shared" ref="B26:I26" ca="1" si="42">(B25*2)+B23+SETTM</f>
        <v>#N/A</v>
      </c>
      <c r="C26" s="55" t="e">
        <f t="shared" ca="1" si="42"/>
        <v>#N/A</v>
      </c>
      <c r="D26" s="55" t="e">
        <f t="shared" ca="1" si="42"/>
        <v>#N/A</v>
      </c>
      <c r="E26" s="55" t="e">
        <f t="shared" ca="1" si="42"/>
        <v>#N/A</v>
      </c>
      <c r="F26" s="55" t="e">
        <f t="shared" ca="1" si="42"/>
        <v>#N/A</v>
      </c>
      <c r="G26" s="55" t="e">
        <f t="shared" ca="1" si="42"/>
        <v>#N/A</v>
      </c>
      <c r="H26" s="55" t="e">
        <f t="shared" ca="1" si="42"/>
        <v>#N/A</v>
      </c>
      <c r="I26" s="206" t="e">
        <f t="shared" ca="1" si="42"/>
        <v>#N/A</v>
      </c>
      <c r="K26" s="352" t="s">
        <v>633</v>
      </c>
      <c r="L26" s="360" t="e">
        <f t="shared" ref="L26:S26" ca="1" si="43">(L25*2)+L23+SETTM</f>
        <v>#N/A</v>
      </c>
      <c r="M26" s="55" t="e">
        <f t="shared" ca="1" si="43"/>
        <v>#N/A</v>
      </c>
      <c r="N26" s="55" t="e">
        <f t="shared" ca="1" si="43"/>
        <v>#N/A</v>
      </c>
      <c r="O26" s="55" t="e">
        <f t="shared" ca="1" si="43"/>
        <v>#N/A</v>
      </c>
      <c r="P26" s="55" t="e">
        <f t="shared" ca="1" si="43"/>
        <v>#N/A</v>
      </c>
      <c r="Q26" s="55" t="e">
        <f t="shared" ca="1" si="43"/>
        <v>#N/A</v>
      </c>
      <c r="R26" s="55" t="e">
        <f t="shared" ca="1" si="43"/>
        <v>#N/A</v>
      </c>
      <c r="S26" s="206" t="e">
        <f t="shared" ca="1" si="43"/>
        <v>#N/A</v>
      </c>
    </row>
    <row r="27" spans="1:19" ht="15.75" thickBot="1" x14ac:dyDescent="0.3">
      <c r="A27" s="352" t="s">
        <v>634</v>
      </c>
      <c r="B27" s="360" t="e">
        <f t="shared" ref="B27:I27" ca="1" si="44">IF(application="Press Feed",B26*(360/FA),B26+FA)</f>
        <v>#N/A</v>
      </c>
      <c r="C27" s="360" t="e">
        <f t="shared" ca="1" si="44"/>
        <v>#N/A</v>
      </c>
      <c r="D27" s="360" t="e">
        <f t="shared" ca="1" si="44"/>
        <v>#N/A</v>
      </c>
      <c r="E27" s="360" t="e">
        <f t="shared" ca="1" si="44"/>
        <v>#N/A</v>
      </c>
      <c r="F27" s="360" t="e">
        <f t="shared" ca="1" si="44"/>
        <v>#N/A</v>
      </c>
      <c r="G27" s="360" t="e">
        <f t="shared" ca="1" si="44"/>
        <v>#N/A</v>
      </c>
      <c r="H27" s="360" t="e">
        <f t="shared" ca="1" si="44"/>
        <v>#N/A</v>
      </c>
      <c r="I27" s="360" t="e">
        <f t="shared" ca="1" si="44"/>
        <v>#N/A</v>
      </c>
      <c r="K27" s="352" t="s">
        <v>634</v>
      </c>
      <c r="L27" s="360" t="e">
        <f t="shared" ref="L27:S27" ca="1" si="45">IF(application="Press Feed",L26*(360/FA_2),L26+FA_2)</f>
        <v>#N/A</v>
      </c>
      <c r="M27" s="360" t="e">
        <f t="shared" ca="1" si="45"/>
        <v>#N/A</v>
      </c>
      <c r="N27" s="360" t="e">
        <f t="shared" ca="1" si="45"/>
        <v>#N/A</v>
      </c>
      <c r="O27" s="360" t="e">
        <f t="shared" ca="1" si="45"/>
        <v>#N/A</v>
      </c>
      <c r="P27" s="360" t="e">
        <f t="shared" ca="1" si="45"/>
        <v>#N/A</v>
      </c>
      <c r="Q27" s="360" t="e">
        <f t="shared" ca="1" si="45"/>
        <v>#N/A</v>
      </c>
      <c r="R27" s="360" t="e">
        <f t="shared" ca="1" si="45"/>
        <v>#N/A</v>
      </c>
      <c r="S27" s="360" t="e">
        <f t="shared" ca="1" si="45"/>
        <v>#N/A</v>
      </c>
    </row>
    <row r="28" spans="1:19" ht="15.75" thickBot="1" x14ac:dyDescent="0.3">
      <c r="A28" s="352" t="s">
        <v>635</v>
      </c>
      <c r="B28" s="362" t="e">
        <f t="shared" ref="B28:I28" ca="1" si="46">IF(60/B27*B21&lt;StrMaxSpInch,ROUNDDOWN(60/B27,0),ROUNDDOWN(StrMaxSpInch/B21,0))</f>
        <v>#N/A</v>
      </c>
      <c r="C28" s="362" t="e">
        <f t="shared" ca="1" si="46"/>
        <v>#N/A</v>
      </c>
      <c r="D28" s="362" t="e">
        <f t="shared" ca="1" si="46"/>
        <v>#N/A</v>
      </c>
      <c r="E28" s="362" t="e">
        <f t="shared" ca="1" si="46"/>
        <v>#N/A</v>
      </c>
      <c r="F28" s="362" t="e">
        <f t="shared" ca="1" si="46"/>
        <v>#N/A</v>
      </c>
      <c r="G28" s="362" t="e">
        <f t="shared" ca="1" si="46"/>
        <v>#N/A</v>
      </c>
      <c r="H28" s="362" t="e">
        <f t="shared" ca="1" si="46"/>
        <v>#N/A</v>
      </c>
      <c r="I28" s="362" t="e">
        <f t="shared" ca="1" si="46"/>
        <v>#N/A</v>
      </c>
      <c r="K28" s="352" t="s">
        <v>635</v>
      </c>
      <c r="L28" s="362" t="e">
        <f t="shared" ref="L28:S28" ca="1" si="47">IF(60/L27*L21&lt;StrMaxSpInch,ROUNDDOWN(60/L27,0),ROUNDDOWN(StrMaxSpInch/L21,0))</f>
        <v>#N/A</v>
      </c>
      <c r="M28" s="362" t="e">
        <f t="shared" ca="1" si="47"/>
        <v>#N/A</v>
      </c>
      <c r="N28" s="362" t="e">
        <f t="shared" ca="1" si="47"/>
        <v>#N/A</v>
      </c>
      <c r="O28" s="362" t="e">
        <f t="shared" ca="1" si="47"/>
        <v>#N/A</v>
      </c>
      <c r="P28" s="362" t="e">
        <f t="shared" ca="1" si="47"/>
        <v>#N/A</v>
      </c>
      <c r="Q28" s="362" t="e">
        <f t="shared" ca="1" si="47"/>
        <v>#N/A</v>
      </c>
      <c r="R28" s="362" t="e">
        <f t="shared" ca="1" si="47"/>
        <v>#N/A</v>
      </c>
      <c r="S28" s="362" t="e">
        <f t="shared" ca="1" si="47"/>
        <v>#N/A</v>
      </c>
    </row>
    <row r="31" spans="1:19" x14ac:dyDescent="0.25">
      <c r="A31" s="600" t="s">
        <v>1052</v>
      </c>
      <c r="B31" s="600"/>
      <c r="D31" s="601" t="s">
        <v>830</v>
      </c>
      <c r="E31" s="600"/>
    </row>
    <row r="32" spans="1:19" x14ac:dyDescent="0.25">
      <c r="A32" s="600" t="s">
        <v>917</v>
      </c>
      <c r="B32" s="600" t="e">
        <f ca="1">INDIRECT("'" &amp; A$31 &amp; "'!" &amp; A32)</f>
        <v>#N/A</v>
      </c>
      <c r="D32" s="600" t="s">
        <v>905</v>
      </c>
      <c r="E32" s="600">
        <f t="shared" ref="E32:E66" ca="1" si="48">INDIRECT("'" &amp; $D$31 &amp; "'!" &amp; $D32)</f>
        <v>80</v>
      </c>
    </row>
    <row r="33" spans="1:5" x14ac:dyDescent="0.25">
      <c r="A33" s="600" t="s">
        <v>490</v>
      </c>
      <c r="B33" s="600" t="e">
        <f t="shared" ref="B33:B40" ca="1" si="49">INDIRECT("'" &amp; A$31 &amp; "'!" &amp; A33)</f>
        <v>#N/A</v>
      </c>
      <c r="D33" s="600" t="s">
        <v>910</v>
      </c>
      <c r="E33" s="600" t="e">
        <f t="shared" ca="1" si="48"/>
        <v>#N/A</v>
      </c>
    </row>
    <row r="34" spans="1:5" x14ac:dyDescent="0.25">
      <c r="A34" s="600" t="s">
        <v>920</v>
      </c>
      <c r="B34" s="600" t="e">
        <f t="shared" ca="1" si="49"/>
        <v>#N/A</v>
      </c>
      <c r="D34" s="600" t="s">
        <v>911</v>
      </c>
      <c r="E34" s="600" t="e">
        <f t="shared" ca="1" si="48"/>
        <v>#N/A</v>
      </c>
    </row>
    <row r="35" spans="1:5" x14ac:dyDescent="0.25">
      <c r="A35" s="600" t="s">
        <v>921</v>
      </c>
      <c r="B35" s="600" t="e">
        <f t="shared" ca="1" si="49"/>
        <v>#N/A</v>
      </c>
      <c r="D35" s="600" t="s">
        <v>914</v>
      </c>
      <c r="E35" s="600" t="str">
        <f t="shared" ca="1" si="48"/>
        <v>Press Feed</v>
      </c>
    </row>
    <row r="36" spans="1:5" x14ac:dyDescent="0.25">
      <c r="A36" s="600" t="s">
        <v>922</v>
      </c>
      <c r="B36" s="600" t="e">
        <f t="shared" ca="1" si="49"/>
        <v>#N/A</v>
      </c>
      <c r="D36" s="600" t="s">
        <v>923</v>
      </c>
      <c r="E36" s="600">
        <f t="shared" ca="1" si="48"/>
        <v>180</v>
      </c>
    </row>
    <row r="37" spans="1:5" x14ac:dyDescent="0.25">
      <c r="A37" s="600" t="s">
        <v>928</v>
      </c>
      <c r="B37" s="600" t="e">
        <f t="shared" ca="1" si="49"/>
        <v>#N/A</v>
      </c>
      <c r="D37" s="600" t="s">
        <v>924</v>
      </c>
      <c r="E37" s="600">
        <f t="shared" ca="1" si="48"/>
        <v>240</v>
      </c>
    </row>
    <row r="38" spans="1:5" x14ac:dyDescent="0.25">
      <c r="A38" s="600" t="s">
        <v>939</v>
      </c>
      <c r="B38" s="600" t="e">
        <f t="shared" ca="1" si="49"/>
        <v>#N/A</v>
      </c>
      <c r="D38" s="600" t="s">
        <v>925</v>
      </c>
      <c r="E38" s="600" t="e">
        <f t="shared" ca="1" si="48"/>
        <v>#N/A</v>
      </c>
    </row>
    <row r="39" spans="1:5" x14ac:dyDescent="0.25">
      <c r="A39" s="600" t="s">
        <v>947</v>
      </c>
      <c r="B39" s="600" t="e">
        <f t="shared" ca="1" si="49"/>
        <v>#N/A</v>
      </c>
      <c r="D39" s="600" t="s">
        <v>926</v>
      </c>
      <c r="E39" s="600">
        <f t="shared" ca="1" si="48"/>
        <v>4</v>
      </c>
    </row>
    <row r="40" spans="1:5" x14ac:dyDescent="0.25">
      <c r="A40" s="600" t="s">
        <v>948</v>
      </c>
      <c r="B40" s="600" t="e">
        <f t="shared" ca="1" si="49"/>
        <v>#N/A</v>
      </c>
      <c r="D40" s="600" t="s">
        <v>927</v>
      </c>
      <c r="E40" s="600" t="e">
        <f t="shared" ca="1" si="48"/>
        <v>#N/A</v>
      </c>
    </row>
    <row r="41" spans="1:5" x14ac:dyDescent="0.25">
      <c r="D41" s="600" t="s">
        <v>466</v>
      </c>
      <c r="E41" s="600" t="e">
        <f t="shared" ca="1" si="48"/>
        <v>#N/A</v>
      </c>
    </row>
    <row r="42" spans="1:5" x14ac:dyDescent="0.25">
      <c r="D42" s="600" t="s">
        <v>906</v>
      </c>
      <c r="E42" s="600" t="str">
        <f t="shared" ca="1" si="48"/>
        <v>HS Steel</v>
      </c>
    </row>
    <row r="43" spans="1:5" x14ac:dyDescent="0.25">
      <c r="D43" s="600" t="s">
        <v>929</v>
      </c>
      <c r="E43" s="600">
        <f t="shared" ca="1" si="48"/>
        <v>4</v>
      </c>
    </row>
    <row r="44" spans="1:5" x14ac:dyDescent="0.25">
      <c r="D44" s="600" t="s">
        <v>930</v>
      </c>
      <c r="E44" s="600" t="e">
        <f t="shared" ca="1" si="48"/>
        <v>#N/A</v>
      </c>
    </row>
    <row r="45" spans="1:5" x14ac:dyDescent="0.25">
      <c r="D45" s="600" t="s">
        <v>931</v>
      </c>
      <c r="E45" s="600">
        <f t="shared" ca="1" si="48"/>
        <v>0</v>
      </c>
    </row>
    <row r="46" spans="1:5" x14ac:dyDescent="0.25">
      <c r="D46" s="600" t="s">
        <v>934</v>
      </c>
      <c r="E46" s="600" t="e">
        <f t="shared" ca="1" si="48"/>
        <v>#N/A</v>
      </c>
    </row>
    <row r="47" spans="1:5" x14ac:dyDescent="0.25">
      <c r="D47" s="600" t="s">
        <v>935</v>
      </c>
      <c r="E47" s="600" t="e">
        <f t="shared" ca="1" si="48"/>
        <v>#N/A</v>
      </c>
    </row>
    <row r="48" spans="1:5" x14ac:dyDescent="0.25">
      <c r="A48" s="570" t="s">
        <v>999</v>
      </c>
      <c r="B48" s="570"/>
      <c r="D48" s="600" t="s">
        <v>936</v>
      </c>
      <c r="E48" s="600" t="e">
        <f t="shared" ca="1" si="48"/>
        <v>#N/A</v>
      </c>
    </row>
    <row r="49" spans="1:5" x14ac:dyDescent="0.25">
      <c r="A49" s="570" t="s">
        <v>1051</v>
      </c>
      <c r="B49" s="570"/>
      <c r="D49" s="600" t="s">
        <v>937</v>
      </c>
      <c r="E49" s="600" t="e">
        <f t="shared" ca="1" si="48"/>
        <v>#N/A</v>
      </c>
    </row>
    <row r="50" spans="1:5" x14ac:dyDescent="0.25">
      <c r="A50" s="570" t="s">
        <v>908</v>
      </c>
      <c r="B50" s="570" t="e">
        <f t="shared" ref="B50:B59" ca="1" si="50">INDIRECT("'" &amp; $A$49 &amp; "'!" &amp; $A50)</f>
        <v>#N/A</v>
      </c>
      <c r="D50" s="600" t="s">
        <v>103</v>
      </c>
      <c r="E50" s="600" t="e">
        <f t="shared" ca="1" si="48"/>
        <v>#N/A</v>
      </c>
    </row>
    <row r="51" spans="1:5" x14ac:dyDescent="0.25">
      <c r="A51" s="570" t="s">
        <v>909</v>
      </c>
      <c r="B51" s="570" t="e">
        <f t="shared" ca="1" si="50"/>
        <v>#N/A</v>
      </c>
      <c r="D51" s="600" t="s">
        <v>938</v>
      </c>
      <c r="E51" s="600" t="e">
        <f t="shared" ca="1" si="48"/>
        <v>#N/A</v>
      </c>
    </row>
    <row r="52" spans="1:5" x14ac:dyDescent="0.25">
      <c r="A52" s="570" t="s">
        <v>912</v>
      </c>
      <c r="B52" s="570" t="e">
        <f t="shared" ca="1" si="50"/>
        <v>#N/A</v>
      </c>
      <c r="D52" s="600" t="s">
        <v>940</v>
      </c>
      <c r="E52" s="600" t="e">
        <f t="shared" ca="1" si="48"/>
        <v>#N/A</v>
      </c>
    </row>
    <row r="53" spans="1:5" x14ac:dyDescent="0.25">
      <c r="A53" s="570" t="s">
        <v>913</v>
      </c>
      <c r="B53" s="570" t="e">
        <f t="shared" ca="1" si="50"/>
        <v>#N/A</v>
      </c>
      <c r="D53" s="600" t="s">
        <v>941</v>
      </c>
      <c r="E53" s="600" t="e">
        <f t="shared" ca="1" si="48"/>
        <v>#N/A</v>
      </c>
    </row>
    <row r="54" spans="1:5" x14ac:dyDescent="0.25">
      <c r="A54" s="570" t="s">
        <v>915</v>
      </c>
      <c r="B54" s="570" t="e">
        <f t="shared" ca="1" si="50"/>
        <v>#N/A</v>
      </c>
      <c r="D54" s="600" t="s">
        <v>942</v>
      </c>
      <c r="E54" s="600" t="str">
        <f t="shared" ca="1" si="48"/>
        <v>Y</v>
      </c>
    </row>
    <row r="55" spans="1:5" x14ac:dyDescent="0.25">
      <c r="A55" s="570" t="s">
        <v>916</v>
      </c>
      <c r="B55" s="570" t="e">
        <f t="shared" ca="1" si="50"/>
        <v>#N/A</v>
      </c>
      <c r="D55" s="600" t="s">
        <v>517</v>
      </c>
      <c r="E55" s="600" t="e">
        <f t="shared" ca="1" si="48"/>
        <v>#N/A</v>
      </c>
    </row>
    <row r="56" spans="1:5" x14ac:dyDescent="0.25">
      <c r="A56" s="570" t="s">
        <v>918</v>
      </c>
      <c r="B56" s="570" t="e">
        <f t="shared" ca="1" si="50"/>
        <v>#N/A</v>
      </c>
      <c r="D56" s="600" t="s">
        <v>943</v>
      </c>
      <c r="E56" s="600" t="e">
        <f t="shared" ca="1" si="48"/>
        <v>#N/A</v>
      </c>
    </row>
    <row r="57" spans="1:5" x14ac:dyDescent="0.25">
      <c r="A57" s="570" t="s">
        <v>919</v>
      </c>
      <c r="B57" s="570" t="e">
        <f t="shared" ca="1" si="50"/>
        <v>#N/A</v>
      </c>
      <c r="D57" s="600" t="s">
        <v>944</v>
      </c>
      <c r="E57" s="600" t="e">
        <f t="shared" ca="1" si="48"/>
        <v>#N/A</v>
      </c>
    </row>
    <row r="58" spans="1:5" x14ac:dyDescent="0.25">
      <c r="A58" s="570" t="s">
        <v>932</v>
      </c>
      <c r="B58" s="570" t="e">
        <f t="shared" ca="1" si="50"/>
        <v>#N/A</v>
      </c>
      <c r="D58" s="600" t="s">
        <v>945</v>
      </c>
      <c r="E58" s="600">
        <f t="shared" ca="1" si="48"/>
        <v>120</v>
      </c>
    </row>
    <row r="59" spans="1:5" x14ac:dyDescent="0.25">
      <c r="A59" s="570" t="s">
        <v>933</v>
      </c>
      <c r="B59" s="570" t="e">
        <f t="shared" ca="1" si="50"/>
        <v>#N/A</v>
      </c>
      <c r="D59" s="600" t="s">
        <v>946</v>
      </c>
      <c r="E59" s="600">
        <f t="shared" ca="1" si="48"/>
        <v>1440</v>
      </c>
    </row>
    <row r="60" spans="1:5" x14ac:dyDescent="0.25">
      <c r="D60" s="600" t="s">
        <v>949</v>
      </c>
      <c r="E60" s="600" t="e">
        <f t="shared" ca="1" si="48"/>
        <v>#N/A</v>
      </c>
    </row>
    <row r="61" spans="1:5" x14ac:dyDescent="0.25">
      <c r="D61" s="600" t="s">
        <v>907</v>
      </c>
      <c r="E61" s="600">
        <f t="shared" ca="1" si="48"/>
        <v>0</v>
      </c>
    </row>
    <row r="62" spans="1:5" x14ac:dyDescent="0.25">
      <c r="D62" s="600" t="s">
        <v>980</v>
      </c>
      <c r="E62" s="600">
        <f t="shared" ca="1" si="48"/>
        <v>18</v>
      </c>
    </row>
    <row r="63" spans="1:5" x14ac:dyDescent="0.25">
      <c r="D63" s="600" t="s">
        <v>982</v>
      </c>
      <c r="E63" s="600">
        <f t="shared" ca="1" si="48"/>
        <v>0.25</v>
      </c>
    </row>
    <row r="64" spans="1:5" x14ac:dyDescent="0.25">
      <c r="D64" s="600" t="s">
        <v>984</v>
      </c>
      <c r="E64" s="600">
        <f t="shared" ca="1" si="48"/>
        <v>48</v>
      </c>
    </row>
    <row r="65" spans="4:5" x14ac:dyDescent="0.25">
      <c r="D65" s="600" t="s">
        <v>983</v>
      </c>
      <c r="E65" s="600">
        <f t="shared" ca="1" si="48"/>
        <v>0.28299999999999997</v>
      </c>
    </row>
    <row r="66" spans="4:5" x14ac:dyDescent="0.25">
      <c r="D66" s="600" t="s">
        <v>981</v>
      </c>
      <c r="E66" s="600">
        <f t="shared" ca="1" si="48"/>
        <v>565.48667764616278</v>
      </c>
    </row>
  </sheetData>
  <sheetProtection selectLockedCells="1"/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968572-74CC-4D9F-ACC5-8E1C84E7745A}">
  <sheetPr codeName="Sheet31">
    <tabColor theme="1"/>
    <pageSetUpPr fitToPage="1"/>
  </sheetPr>
  <dimension ref="A1:W125"/>
  <sheetViews>
    <sheetView zoomScale="90" zoomScaleNormal="90" workbookViewId="0">
      <selection activeCell="B12" sqref="B12"/>
    </sheetView>
  </sheetViews>
  <sheetFormatPr defaultRowHeight="15" x14ac:dyDescent="0.25"/>
  <cols>
    <col min="1" max="1" width="15.28515625" customWidth="1"/>
    <col min="2" max="2" width="8.140625" customWidth="1"/>
    <col min="3" max="3" width="9.42578125" customWidth="1"/>
    <col min="4" max="4" width="20.5703125" customWidth="1"/>
    <col min="5" max="5" width="7.85546875" customWidth="1"/>
    <col min="6" max="6" width="11.85546875" customWidth="1"/>
    <col min="7" max="7" width="13.42578125" customWidth="1"/>
    <col min="8" max="8" width="7.28515625" customWidth="1"/>
    <col min="9" max="9" width="9.5703125" style="201" customWidth="1"/>
    <col min="10" max="10" width="8.85546875" customWidth="1"/>
    <col min="11" max="11" width="8.28515625" customWidth="1"/>
    <col min="12" max="12" width="12.7109375" customWidth="1"/>
    <col min="13" max="14" width="12.7109375" hidden="1" customWidth="1"/>
    <col min="15" max="15" width="20.7109375" customWidth="1"/>
    <col min="16" max="16" width="14.85546875" customWidth="1"/>
    <col min="17" max="17" width="12.7109375" hidden="1" customWidth="1"/>
    <col min="18" max="18" width="20.85546875" customWidth="1"/>
    <col min="19" max="19" width="15.5703125" customWidth="1"/>
    <col min="20" max="20" width="13.140625" hidden="1" customWidth="1"/>
    <col min="21" max="21" width="12.42578125" customWidth="1"/>
    <col min="22" max="22" width="3.7109375" bestFit="1" customWidth="1"/>
  </cols>
  <sheetData>
    <row r="1" spans="1:22" ht="21.75" thickBot="1" x14ac:dyDescent="0.4">
      <c r="E1" s="200" t="s">
        <v>0</v>
      </c>
      <c r="L1" s="2"/>
      <c r="M1" s="1050"/>
      <c r="N1" s="1050"/>
      <c r="O1" s="1050"/>
      <c r="P1" s="1050"/>
      <c r="Q1" s="1050"/>
      <c r="R1" s="1050"/>
      <c r="S1" s="2"/>
    </row>
    <row r="2" spans="1:22" ht="15.75" customHeight="1" x14ac:dyDescent="0.25">
      <c r="E2" s="64" t="s">
        <v>761</v>
      </c>
      <c r="L2" s="418" t="s">
        <v>256</v>
      </c>
      <c r="M2" s="203" t="s">
        <v>434</v>
      </c>
      <c r="N2" s="203" t="s">
        <v>435</v>
      </c>
      <c r="O2" s="203" t="str">
        <f>IF(application="Cut to Length", "Blanks/Min (" &amp; $E$19 &amp; " " &amp; $F$19 &amp; ")","SPM @ " &amp; $E$19 &amp; " " &amp; $F$19)</f>
        <v>SPM @ 180 Deg.</v>
      </c>
      <c r="P2" s="203" t="s">
        <v>1112</v>
      </c>
      <c r="Q2" s="203" t="s">
        <v>637</v>
      </c>
      <c r="R2" s="203" t="str">
        <f>IF(application="Cut to Length", "Blanks/Min (" &amp; $E$20 &amp; " " &amp; $F$20 &amp; ")","SPM @ " &amp; $E$20 &amp; " " &amp; $F$20)</f>
        <v>SPM @ 240 Deg.</v>
      </c>
      <c r="S2" s="204" t="s">
        <v>1112</v>
      </c>
      <c r="T2" s="617" t="s">
        <v>637</v>
      </c>
      <c r="U2" s="542" t="s">
        <v>903</v>
      </c>
      <c r="V2" s="527" t="e">
        <f ca="1">IF(AND(MPEAK&gt;PEAKTQ,MRMS&gt;RMSTQ,MRMS&gt;RMSTQ_2,ACCTQ&lt;MPEAK,width&gt;MatWidth),"OK","")</f>
        <v>#N/A</v>
      </c>
    </row>
    <row r="3" spans="1:22" ht="15.75" customHeight="1" x14ac:dyDescent="0.25">
      <c r="E3" s="64"/>
      <c r="L3" s="205" t="e">
        <f ca="1">INDIRECT("'" &amp; $A$101 &amp; "'!B3")</f>
        <v>#N/A</v>
      </c>
      <c r="M3" s="53" t="e">
        <f ca="1">INDIRECT("'" &amp; $A$101 &amp; "'!B4")</f>
        <v>#N/A</v>
      </c>
      <c r="N3" s="53" t="e">
        <f ca="1">INDIRECT("'" &amp; $A$101 &amp; "'!L4")</f>
        <v>#N/A</v>
      </c>
      <c r="O3" s="53" t="e">
        <f ca="1">INDIRECT("'" &amp; $A$101 &amp; "'!B10")</f>
        <v>#N/A</v>
      </c>
      <c r="P3" s="53" t="e">
        <f ca="1">($L3*$O3)/12</f>
        <v>#N/A</v>
      </c>
      <c r="Q3" s="55" t="e">
        <f ca="1">INDIRECT("'" &amp; $A$101 &amp; "'!B8")</f>
        <v>#N/A</v>
      </c>
      <c r="R3" s="53" t="e">
        <f ca="1">INDIRECT("'" &amp; $A$101 &amp; "'!L10")</f>
        <v>#N/A</v>
      </c>
      <c r="S3" s="619" t="e">
        <f ca="1">($L3*$R3)/12</f>
        <v>#N/A</v>
      </c>
      <c r="T3" s="580" t="e">
        <f ca="1">INDIRECT("'" &amp; $A$101 &amp; "'!L8")</f>
        <v>#N/A</v>
      </c>
    </row>
    <row r="4" spans="1:22" ht="15.75" customHeight="1" x14ac:dyDescent="0.25">
      <c r="A4" s="1" t="s">
        <v>1</v>
      </c>
      <c r="B4" s="1004" t="str">
        <f>Customer</f>
        <v>ULTRATECH TOOL&amp; DESIGN, INC.</v>
      </c>
      <c r="C4" s="940"/>
      <c r="D4" s="941"/>
      <c r="E4" s="64"/>
      <c r="L4" s="208">
        <f ca="1">INDIRECT("'" &amp; $A$101 &amp; "'!C3")</f>
        <v>4</v>
      </c>
      <c r="M4" s="53" t="e">
        <f ca="1">INDIRECT("'" &amp; $A$101 &amp; "'!C4")</f>
        <v>#N/A</v>
      </c>
      <c r="N4" s="53" t="e">
        <f ca="1">INDIRECT("'" &amp; $A$101 &amp; "'!M4")</f>
        <v>#N/A</v>
      </c>
      <c r="O4" s="53" t="e">
        <f ca="1">INDIRECT("'" &amp; $A$101 &amp; "'!C10")</f>
        <v>#N/A</v>
      </c>
      <c r="P4" s="53" t="e">
        <f t="shared" ref="P4:P26" ca="1" si="0">($L4*$O4)/12</f>
        <v>#N/A</v>
      </c>
      <c r="Q4" s="55" t="e">
        <f ca="1">INDIRECT("'" &amp; $A$101 &amp; "'!C8")</f>
        <v>#N/A</v>
      </c>
      <c r="R4" s="53" t="e">
        <f ca="1">INDIRECT("'" &amp; $A$101 &amp; "'!M10")</f>
        <v>#N/A</v>
      </c>
      <c r="S4" s="619" t="e">
        <f t="shared" ref="S4:S26" ca="1" si="1">($L4*$R4)/12</f>
        <v>#N/A</v>
      </c>
      <c r="T4" s="580" t="e">
        <f ca="1">INDIRECT("'" &amp; $A$101 &amp; "'!M8")</f>
        <v>#N/A</v>
      </c>
    </row>
    <row r="5" spans="1:22" ht="15.75" customHeight="1" x14ac:dyDescent="0.25">
      <c r="A5" s="1" t="s">
        <v>2</v>
      </c>
      <c r="B5" s="939">
        <f>CalcDate</f>
        <v>0</v>
      </c>
      <c r="C5" s="940"/>
      <c r="D5" s="941"/>
      <c r="L5" s="208">
        <f ca="1">INDIRECT("'" &amp; $A$101 &amp; "'!D3")</f>
        <v>8</v>
      </c>
      <c r="M5" s="53" t="e">
        <f ca="1">INDIRECT("'" &amp; $A$101 &amp; "'!D4")</f>
        <v>#N/A</v>
      </c>
      <c r="N5" s="53" t="e">
        <f ca="1">INDIRECT("'" &amp; $A$101 &amp; "'!N4")</f>
        <v>#N/A</v>
      </c>
      <c r="O5" s="53" t="e">
        <f ca="1">INDIRECT("'" &amp; $A$101 &amp; "'!D10")</f>
        <v>#N/A</v>
      </c>
      <c r="P5" s="53" t="e">
        <f t="shared" ca="1" si="0"/>
        <v>#N/A</v>
      </c>
      <c r="Q5" s="55" t="e">
        <f ca="1">INDIRECT("'" &amp; $A$101 &amp; "'!D8")</f>
        <v>#N/A</v>
      </c>
      <c r="R5" s="53" t="e">
        <f ca="1">INDIRECT("'" &amp; $A$101 &amp; "'!N10")</f>
        <v>#N/A</v>
      </c>
      <c r="S5" s="619" t="e">
        <f t="shared" ca="1" si="1"/>
        <v>#N/A</v>
      </c>
      <c r="T5" s="580" t="e">
        <f ca="1">INDIRECT("'" &amp; $A$101 &amp; "'!N8")</f>
        <v>#N/A</v>
      </c>
    </row>
    <row r="6" spans="1:22" ht="15.75" customHeight="1" x14ac:dyDescent="0.25">
      <c r="A6" s="1" t="s">
        <v>131</v>
      </c>
      <c r="B6" s="1004">
        <f>Reference</f>
        <v>0</v>
      </c>
      <c r="C6" s="940"/>
      <c r="D6" s="941"/>
      <c r="L6" s="208">
        <f ca="1">INDIRECT("'" &amp; $A$101 &amp; "'!E3")</f>
        <v>12</v>
      </c>
      <c r="M6" s="53" t="e">
        <f ca="1">INDIRECT("'" &amp; $A$101 &amp; "'!E4")</f>
        <v>#N/A</v>
      </c>
      <c r="N6" s="53" t="e">
        <f ca="1">INDIRECT("'" &amp; $A$101 &amp; "'!O4")</f>
        <v>#N/A</v>
      </c>
      <c r="O6" s="53" t="e">
        <f ca="1">INDIRECT("'" &amp; $A$101 &amp; "'!E10")</f>
        <v>#N/A</v>
      </c>
      <c r="P6" s="53" t="e">
        <f t="shared" ca="1" si="0"/>
        <v>#N/A</v>
      </c>
      <c r="Q6" s="55" t="e">
        <f ca="1">INDIRECT("'" &amp; $A$101 &amp; "'!E8")</f>
        <v>#N/A</v>
      </c>
      <c r="R6" s="53" t="e">
        <f ca="1">INDIRECT("'" &amp; $A$101 &amp; "'!O10")</f>
        <v>#N/A</v>
      </c>
      <c r="S6" s="619" t="e">
        <f t="shared" ca="1" si="1"/>
        <v>#N/A</v>
      </c>
      <c r="T6" s="580" t="e">
        <f ca="1">INDIRECT("'" &amp; $A$101 &amp; "'!O8")</f>
        <v>#N/A</v>
      </c>
    </row>
    <row r="7" spans="1:22" ht="15.75" customHeight="1" x14ac:dyDescent="0.25">
      <c r="L7" s="208">
        <f ca="1">INDIRECT("'" &amp; $A$101 &amp; "'!F3")</f>
        <v>16</v>
      </c>
      <c r="M7" s="53" t="e">
        <f ca="1">INDIRECT("'" &amp; $A$101 &amp; "'!F4")</f>
        <v>#N/A</v>
      </c>
      <c r="N7" s="53" t="e">
        <f ca="1">INDIRECT("'" &amp; $A$101 &amp; "'!P4")</f>
        <v>#N/A</v>
      </c>
      <c r="O7" s="53" t="e">
        <f ca="1">INDIRECT("'" &amp; $A$101 &amp; "'!F10")</f>
        <v>#N/A</v>
      </c>
      <c r="P7" s="53" t="e">
        <f t="shared" ca="1" si="0"/>
        <v>#N/A</v>
      </c>
      <c r="Q7" s="55" t="e">
        <f ca="1">INDIRECT("'" &amp; $A$101 &amp; "'!F8")</f>
        <v>#N/A</v>
      </c>
      <c r="R7" s="53" t="e">
        <f ca="1">INDIRECT("'" &amp; $A$101 &amp; "'!P10")</f>
        <v>#N/A</v>
      </c>
      <c r="S7" s="619" t="e">
        <f t="shared" ca="1" si="1"/>
        <v>#N/A</v>
      </c>
      <c r="T7" s="580" t="e">
        <f ca="1">INDIRECT("'" &amp; $A$101 &amp; "'!P8")</f>
        <v>#N/A</v>
      </c>
    </row>
    <row r="8" spans="1:22" ht="15.75" customHeight="1" x14ac:dyDescent="0.25">
      <c r="A8" s="18" t="s">
        <v>438</v>
      </c>
      <c r="B8" s="27" t="str">
        <f>SelectedApplication</f>
        <v>Press Feed</v>
      </c>
      <c r="L8" s="208">
        <f ca="1">INDIRECT("'" &amp; $A$101 &amp; "'!G3")</f>
        <v>20</v>
      </c>
      <c r="M8" s="53" t="e">
        <f ca="1">INDIRECT("'" &amp; $A$101 &amp; "'!G4")</f>
        <v>#N/A</v>
      </c>
      <c r="N8" s="53" t="e">
        <f ca="1">INDIRECT("'" &amp; $A$101 &amp; "'!Q4")</f>
        <v>#N/A</v>
      </c>
      <c r="O8" s="53" t="e">
        <f ca="1">INDIRECT("'" &amp; $A$101 &amp; "'!G10")</f>
        <v>#N/A</v>
      </c>
      <c r="P8" s="53" t="e">
        <f t="shared" ca="1" si="0"/>
        <v>#N/A</v>
      </c>
      <c r="Q8" s="55" t="e">
        <f ca="1">INDIRECT("'" &amp; $A$101 &amp; "'!G8")</f>
        <v>#N/A</v>
      </c>
      <c r="R8" s="53" t="e">
        <f ca="1">INDIRECT("'" &amp; $A$101 &amp; "'!Q10")</f>
        <v>#N/A</v>
      </c>
      <c r="S8" s="619" t="e">
        <f t="shared" ca="1" si="1"/>
        <v>#N/A</v>
      </c>
      <c r="T8" s="580" t="e">
        <f ca="1">INDIRECT("'" &amp; $A$101 &amp; "'!Q8")</f>
        <v>#N/A</v>
      </c>
    </row>
    <row r="9" spans="1:22" ht="15.75" customHeight="1" x14ac:dyDescent="0.25">
      <c r="A9" s="18" t="s">
        <v>160</v>
      </c>
      <c r="B9" s="1055">
        <f>'Allen Bradley MPL - Feed (1)'!model</f>
        <v>0</v>
      </c>
      <c r="C9" s="1055"/>
      <c r="E9" s="210" t="s">
        <v>441</v>
      </c>
      <c r="F9" s="211" t="e">
        <f>VLOOKUP(model,LookupABFeed,14,FALSE)</f>
        <v>#N/A</v>
      </c>
      <c r="L9" s="208">
        <f ca="1">INDIRECT("'" &amp; $A$101 &amp; "'!H3")</f>
        <v>24</v>
      </c>
      <c r="M9" s="53" t="e">
        <f ca="1">INDIRECT("'" &amp; $A$101 &amp; "'!H4")</f>
        <v>#N/A</v>
      </c>
      <c r="N9" s="53" t="e">
        <f ca="1">INDIRECT("'" &amp; $A$101 &amp; "'!R4")</f>
        <v>#N/A</v>
      </c>
      <c r="O9" s="53" t="e">
        <f ca="1">INDIRECT("'" &amp; $A$101 &amp; "'!H10")</f>
        <v>#N/A</v>
      </c>
      <c r="P9" s="53" t="e">
        <f t="shared" ca="1" si="0"/>
        <v>#N/A</v>
      </c>
      <c r="Q9" s="55" t="e">
        <f ca="1">INDIRECT("'" &amp; $A$101 &amp; "'!H8")</f>
        <v>#N/A</v>
      </c>
      <c r="R9" s="53" t="e">
        <f ca="1">INDIRECT("'" &amp; $A$101 &amp; "'!R10")</f>
        <v>#N/A</v>
      </c>
      <c r="S9" s="619" t="e">
        <f t="shared" ca="1" si="1"/>
        <v>#N/A</v>
      </c>
      <c r="T9" s="580" t="e">
        <f ca="1">INDIRECT("'" &amp; $A$101 &amp; "'!R8")</f>
        <v>#N/A</v>
      </c>
    </row>
    <row r="10" spans="1:22" ht="15.75" customHeight="1" x14ac:dyDescent="0.25">
      <c r="A10" s="18" t="s">
        <v>442</v>
      </c>
      <c r="B10" s="50">
        <f>'Allen Bradley MPL - Feed (1)'!width</f>
        <v>0</v>
      </c>
      <c r="E10" s="210" t="s">
        <v>443</v>
      </c>
      <c r="F10" s="211" t="e">
        <f>VLOOKUP(model,LookupABFeed,15,FALSE)</f>
        <v>#N/A</v>
      </c>
      <c r="L10" s="208">
        <f ca="1">INDIRECT("'" &amp; $A$101 &amp; "'!I3")</f>
        <v>28</v>
      </c>
      <c r="M10" s="53" t="e">
        <f ca="1">INDIRECT("'" &amp; $A$101 &amp; "'!I4")</f>
        <v>#N/A</v>
      </c>
      <c r="N10" s="53" t="e">
        <f ca="1">INDIRECT("'" &amp; $A$101 &amp; "'!S4")</f>
        <v>#N/A</v>
      </c>
      <c r="O10" s="53" t="e">
        <f ca="1">INDIRECT("'" &amp; $A$101 &amp; "'!I10")</f>
        <v>#N/A</v>
      </c>
      <c r="P10" s="53" t="e">
        <f t="shared" ca="1" si="0"/>
        <v>#N/A</v>
      </c>
      <c r="Q10" s="55" t="e">
        <f ca="1">INDIRECT("'" &amp; $A$101 &amp; "'!I8")</f>
        <v>#N/A</v>
      </c>
      <c r="R10" s="53" t="e">
        <f ca="1">INDIRECT("'" &amp; $A$101 &amp; "'!S10")</f>
        <v>#N/A</v>
      </c>
      <c r="S10" s="619" t="e">
        <f t="shared" ca="1" si="1"/>
        <v>#N/A</v>
      </c>
      <c r="T10" s="580" t="e">
        <f ca="1">INDIRECT("'" &amp; $A$101 &amp; "'!S8")</f>
        <v>#N/A</v>
      </c>
    </row>
    <row r="11" spans="1:22" ht="15.75" customHeight="1" x14ac:dyDescent="0.25">
      <c r="A11" s="18" t="s">
        <v>444</v>
      </c>
      <c r="B11" s="699" t="str">
        <f>'Allen Bradley MPL - Feed (1)'!$B$11</f>
        <v>Y</v>
      </c>
      <c r="C11" s="419"/>
      <c r="L11" s="208">
        <f ca="1">INDIRECT("'" &amp; $A$101 &amp; "'!B12")</f>
        <v>32</v>
      </c>
      <c r="M11" s="53" t="e">
        <f ca="1">INDIRECT("'" &amp; $A$101 &amp; "'!B13")</f>
        <v>#N/A</v>
      </c>
      <c r="N11" s="53" t="e">
        <f ca="1">INDIRECT("'" &amp; $A$101 &amp; "'!L13")</f>
        <v>#N/A</v>
      </c>
      <c r="O11" s="53" t="e">
        <f ca="1">INDIRECT("'" &amp; $A$101 &amp; "'!B19")</f>
        <v>#N/A</v>
      </c>
      <c r="P11" s="53" t="e">
        <f t="shared" ca="1" si="0"/>
        <v>#N/A</v>
      </c>
      <c r="Q11" s="55" t="e">
        <f ca="1">INDIRECT("'" &amp; $A$101 &amp; "'!B17")</f>
        <v>#N/A</v>
      </c>
      <c r="R11" s="53" t="e">
        <f ca="1">INDIRECT("'" &amp; $A$101 &amp; "'!L19")</f>
        <v>#N/A</v>
      </c>
      <c r="S11" s="619" t="e">
        <f t="shared" ca="1" si="1"/>
        <v>#N/A</v>
      </c>
      <c r="T11" s="580" t="e">
        <f ca="1">INDIRECT("'" &amp; $A$101 &amp; "'!L17")</f>
        <v>#N/A</v>
      </c>
    </row>
    <row r="12" spans="1:22" ht="15.75" customHeight="1" x14ac:dyDescent="0.25">
      <c r="A12" s="18" t="s">
        <v>446</v>
      </c>
      <c r="B12" s="699" t="str">
        <f>'Allen Bradley MPL - Feed (1)'!ROLLWIDTH</f>
        <v>Y</v>
      </c>
      <c r="C12" s="419"/>
      <c r="D12" s="420" t="s">
        <v>63</v>
      </c>
      <c r="E12" s="904" t="str">
        <f>Material_2</f>
        <v>HS Steel</v>
      </c>
      <c r="F12" s="904"/>
      <c r="H12" s="421" t="s">
        <v>763</v>
      </c>
      <c r="L12" s="208">
        <f ca="1">INDIRECT("'" &amp; $A$101 &amp; "'!C12")</f>
        <v>36</v>
      </c>
      <c r="M12" s="53" t="e">
        <f ca="1">INDIRECT("'" &amp; $A$101 &amp; "'!C13")</f>
        <v>#N/A</v>
      </c>
      <c r="N12" s="53" t="e">
        <f ca="1">INDIRECT("'" &amp; $A$101 &amp; "'!M13")</f>
        <v>#N/A</v>
      </c>
      <c r="O12" s="53" t="e">
        <f ca="1">INDIRECT("'" &amp; $A$101 &amp; "'!C19")</f>
        <v>#N/A</v>
      </c>
      <c r="P12" s="53" t="e">
        <f t="shared" ca="1" si="0"/>
        <v>#N/A</v>
      </c>
      <c r="Q12" s="55" t="e">
        <f ca="1">INDIRECT("'" &amp; $A$101 &amp; "'!C17")</f>
        <v>#N/A</v>
      </c>
      <c r="R12" s="53" t="e">
        <f ca="1">INDIRECT("'" &amp; $A$101 &amp; "'!M19")</f>
        <v>#N/A</v>
      </c>
      <c r="S12" s="619" t="e">
        <f t="shared" ca="1" si="1"/>
        <v>#N/A</v>
      </c>
      <c r="T12" s="580" t="e">
        <f ca="1">INDIRECT("'" &amp; $A$101 &amp; "'!M17")</f>
        <v>#N/A</v>
      </c>
    </row>
    <row r="13" spans="1:22" ht="15.75" customHeight="1" x14ac:dyDescent="0.25">
      <c r="A13" s="218"/>
      <c r="B13" s="218"/>
      <c r="C13" s="218"/>
      <c r="H13" s="422" t="e">
        <f>IF(F10="AB 2094-BC04 + 2094-M03 w/ Int SHUNT","2098-xxx-HV100 + 2090_SR040-09",IF(F10="AB 2095 BC04 + 2094-M03 + 2094-BSP2 + 1394 SR9AF","2092-xxx-HV220 + M3575R-H27B0C",IF(F10="AB 2094-BC07 + 2094-M05 + 1394-SR36A","2098-xxx-HV220 + M3575R-H33BFC", IF(F10="AB 2094-BC07 + 2094-BM05 + 1394-SR36A", "2098-xxx-HV220 + 3575SR-H33BFC", IF(F10="AB 2094-BC07 + 2094 M05 + 2094-BSP2 + 1394 SR36A", "2098-xxx-HV220 + M3575R-H33BFC", "*")))))</f>
        <v>#N/A</v>
      </c>
      <c r="L13" s="208">
        <f ca="1">INDIRECT("'" &amp; $A$101 &amp; "'!D12")</f>
        <v>40</v>
      </c>
      <c r="M13" s="53" t="e">
        <f ca="1">INDIRECT("'" &amp; $A$101 &amp; "'!D13")</f>
        <v>#N/A</v>
      </c>
      <c r="N13" s="53" t="e">
        <f ca="1">INDIRECT("'" &amp; $A$101 &amp; "'!N13")</f>
        <v>#N/A</v>
      </c>
      <c r="O13" s="53" t="e">
        <f ca="1">INDIRECT("'" &amp; $A$101 &amp; "'!D19")</f>
        <v>#N/A</v>
      </c>
      <c r="P13" s="53" t="e">
        <f t="shared" ca="1" si="0"/>
        <v>#N/A</v>
      </c>
      <c r="Q13" s="55" t="e">
        <f ca="1">INDIRECT("'" &amp; $A$101 &amp; "'!D17")</f>
        <v>#N/A</v>
      </c>
      <c r="R13" s="53" t="e">
        <f ca="1">INDIRECT("'" &amp; $A$101 &amp; "'!N19")</f>
        <v>#N/A</v>
      </c>
      <c r="S13" s="619" t="e">
        <f t="shared" ca="1" si="1"/>
        <v>#N/A</v>
      </c>
      <c r="T13" s="580" t="e">
        <f ca="1">INDIRECT("'" &amp; $A$101 &amp; "'!N17")</f>
        <v>#N/A</v>
      </c>
    </row>
    <row r="14" spans="1:22" ht="15.75" customHeight="1" x14ac:dyDescent="0.25">
      <c r="A14" s="1040" t="s">
        <v>63</v>
      </c>
      <c r="B14" s="50" t="s">
        <v>447</v>
      </c>
      <c r="C14" s="423" t="s">
        <v>448</v>
      </c>
      <c r="D14" s="50" t="str">
        <f>IF(application="Press Feed","Press Bed Length", IF(application="Cut to Length", "Maximum Blank Length","Ln. FLT"))</f>
        <v>Press Bed Length</v>
      </c>
      <c r="E14" s="50" t="s">
        <v>449</v>
      </c>
      <c r="F14" s="50" t="s">
        <v>764</v>
      </c>
      <c r="H14" s="422" t="e">
        <f>IF(H13="AB 2094-BC04 + 2094-M03 w/ Int SHUNT","1394-AC-AM50 + 1394-SJT05 + 1394-SR10A",IF(F10="AB 2095 BC04 + 2094-M03 + 2094-BSP2 + 1394 SR9AF","1394C-AM50IH + 1394C-SJT05 + 1394-SR10A",IF(F10="AB 2094-BC07 + 2094-M05 + 1394-SR36A","1394C-AM75IH + 1394C-SJ22 + 1394-SR36AF",IF(F10="AB 2094-BC07 + 2094-BM05 + 1394-SR36A","1394C-AM75IH + 1394SJT10 + 1394 SR10A",IF(F10="AB 2094-BC07 + 2094 M05 + 2094-BSP2 + 1394 SR36A","1394C-AM75IH + 1394C-SJ22 + 1394-SR36A","*")))))</f>
        <v>#N/A</v>
      </c>
      <c r="L14" s="208">
        <f ca="1">INDIRECT("'" &amp; $A$101 &amp; "'!E12")</f>
        <v>44</v>
      </c>
      <c r="M14" s="53" t="e">
        <f ca="1">INDIRECT("'" &amp; $A$101 &amp; "'!E13")</f>
        <v>#N/A</v>
      </c>
      <c r="N14" s="53" t="e">
        <f ca="1">INDIRECT("'" &amp; $A$101 &amp; "'!O13")</f>
        <v>#N/A</v>
      </c>
      <c r="O14" s="53" t="e">
        <f ca="1">INDIRECT("'" &amp; $A$101 &amp; "'!E19")</f>
        <v>#N/A</v>
      </c>
      <c r="P14" s="53" t="e">
        <f t="shared" ca="1" si="0"/>
        <v>#N/A</v>
      </c>
      <c r="Q14" s="55" t="e">
        <f ca="1">INDIRECT("'" &amp; $A$101 &amp; "'!E17")</f>
        <v>#N/A</v>
      </c>
      <c r="R14" s="53" t="e">
        <f ca="1">INDIRECT("'" &amp; $A$101 &amp; "'!O19")</f>
        <v>#N/A</v>
      </c>
      <c r="S14" s="619" t="e">
        <f t="shared" ca="1" si="1"/>
        <v>#N/A</v>
      </c>
      <c r="T14" s="580" t="e">
        <f ca="1">INDIRECT("'" &amp; $A$101 &amp; "'!O17")</f>
        <v>#N/A</v>
      </c>
    </row>
    <row r="15" spans="1:22" ht="15.75" customHeight="1" x14ac:dyDescent="0.25">
      <c r="A15" s="1041"/>
      <c r="B15" s="582">
        <f>CoilWidth_2</f>
        <v>16</v>
      </c>
      <c r="C15" s="597">
        <f>Thickness_2</f>
        <v>0.3</v>
      </c>
      <c r="D15" s="694">
        <f>'Allen Bradley MPL - Feed (1)'!MatLnFLT</f>
        <v>48</v>
      </c>
      <c r="E15" s="582">
        <f>VLOOKUP(material,LookupMaterial,4,FALSE)</f>
        <v>0.28299999999999997</v>
      </c>
      <c r="F15" s="596">
        <f>IF(B11="Y",C15*360*PI()*2, C15*360*PI())</f>
        <v>678.58401317539528</v>
      </c>
      <c r="G15" s="212"/>
      <c r="L15" s="208">
        <f ca="1">INDIRECT("'" &amp; $A$101 &amp; "'!F12")</f>
        <v>48</v>
      </c>
      <c r="M15" s="53" t="e">
        <f ca="1">INDIRECT("'" &amp; $A$101 &amp; "'!F13")</f>
        <v>#N/A</v>
      </c>
      <c r="N15" s="53" t="e">
        <f ca="1">INDIRECT("'" &amp; $A$101 &amp; "'!P13")</f>
        <v>#N/A</v>
      </c>
      <c r="O15" s="53" t="e">
        <f ca="1">INDIRECT("'" &amp; $A$101 &amp; "'!F19")</f>
        <v>#N/A</v>
      </c>
      <c r="P15" s="53" t="e">
        <f t="shared" ca="1" si="0"/>
        <v>#N/A</v>
      </c>
      <c r="Q15" s="55" t="e">
        <f ca="1">INDIRECT("'" &amp; $A$101 &amp; "'!F17")</f>
        <v>#N/A</v>
      </c>
      <c r="R15" s="53" t="e">
        <f ca="1">INDIRECT("'" &amp; $A$101 &amp; "'!P19")</f>
        <v>#N/A</v>
      </c>
      <c r="S15" s="619" t="e">
        <f t="shared" ca="1" si="1"/>
        <v>#N/A</v>
      </c>
      <c r="T15" s="580" t="e">
        <f ca="1">INDIRECT("'" &amp; $A$101 &amp; "'!P17")</f>
        <v>#N/A</v>
      </c>
    </row>
    <row r="16" spans="1:22" ht="15.75" customHeight="1" x14ac:dyDescent="0.25">
      <c r="B16" s="424"/>
      <c r="L16" s="208">
        <f ca="1">INDIRECT("'" &amp; $A$101 &amp; "'!G12")</f>
        <v>52</v>
      </c>
      <c r="M16" s="53" t="e">
        <f ca="1">INDIRECT("'" &amp; $A$101 &amp; "'!G13")</f>
        <v>#N/A</v>
      </c>
      <c r="N16" s="53" t="e">
        <f ca="1">INDIRECT("'" &amp; $A$101 &amp; "'!Q13")</f>
        <v>#N/A</v>
      </c>
      <c r="O16" s="53" t="e">
        <f ca="1">INDIRECT("'" &amp; $A$101 &amp; "'!G19")</f>
        <v>#N/A</v>
      </c>
      <c r="P16" s="53" t="e">
        <f t="shared" ca="1" si="0"/>
        <v>#N/A</v>
      </c>
      <c r="Q16" s="55" t="e">
        <f ca="1">INDIRECT("'" &amp; $A$101 &amp; "'!G17")</f>
        <v>#N/A</v>
      </c>
      <c r="R16" s="53" t="e">
        <f ca="1">INDIRECT("'" &amp; $A$101 &amp; "'!Q19")</f>
        <v>#N/A</v>
      </c>
      <c r="S16" s="619" t="e">
        <f t="shared" ca="1" si="1"/>
        <v>#N/A</v>
      </c>
      <c r="T16" s="580" t="e">
        <f ca="1">INDIRECT("'" &amp; $A$101 &amp; "'!Q17")</f>
        <v>#N/A</v>
      </c>
    </row>
    <row r="17" spans="1:20" ht="15.75" customHeight="1" x14ac:dyDescent="0.25">
      <c r="A17" s="220" t="s">
        <v>765</v>
      </c>
      <c r="B17" s="216">
        <f>IF(SelectedStrUsed = "Yes", 'Str. Utility (1)'!fpm, $B$24)</f>
        <v>120</v>
      </c>
      <c r="C17" s="212" t="s">
        <v>452</v>
      </c>
      <c r="D17" s="220" t="s">
        <v>453</v>
      </c>
      <c r="E17" s="582">
        <f>'Allen Bradley MPL - Feed (1)'!MINLN</f>
        <v>4</v>
      </c>
      <c r="F17" s="212" t="s">
        <v>336</v>
      </c>
      <c r="L17" s="208">
        <f ca="1">INDIRECT("'" &amp; $A$101 &amp; "'!H12")</f>
        <v>56</v>
      </c>
      <c r="M17" s="53" t="e">
        <f ca="1">INDIRECT("'" &amp; $A$101 &amp; "'!H13")</f>
        <v>#N/A</v>
      </c>
      <c r="N17" s="53" t="e">
        <f ca="1">INDIRECT("'" &amp; $A$101 &amp; "'!R13")</f>
        <v>#N/A</v>
      </c>
      <c r="O17" s="53" t="e">
        <f ca="1">INDIRECT("'" &amp; $A$101 &amp; "'!H19")</f>
        <v>#N/A</v>
      </c>
      <c r="P17" s="53" t="e">
        <f t="shared" ca="1" si="0"/>
        <v>#N/A</v>
      </c>
      <c r="Q17" s="55" t="e">
        <f ca="1">INDIRECT("'" &amp; $A$101 &amp; "'!H17")</f>
        <v>#N/A</v>
      </c>
      <c r="R17" s="53" t="e">
        <f ca="1">INDIRECT("'" &amp; $A$101 &amp; "'!R19")</f>
        <v>#N/A</v>
      </c>
      <c r="S17" s="619" t="e">
        <f t="shared" ca="1" si="1"/>
        <v>#N/A</v>
      </c>
      <c r="T17" s="580" t="e">
        <f ca="1">INDIRECT("'" &amp; $A$101 &amp; "'!R17")</f>
        <v>#N/A</v>
      </c>
    </row>
    <row r="18" spans="1:20" ht="15.75" customHeight="1" x14ac:dyDescent="0.25">
      <c r="A18" s="220" t="s">
        <v>642</v>
      </c>
      <c r="B18" s="582">
        <f>'Allen Bradley MPL - Feed (1)'!$B$18</f>
        <v>30</v>
      </c>
      <c r="C18" s="3" t="s">
        <v>40</v>
      </c>
      <c r="D18" s="220" t="s">
        <v>455</v>
      </c>
      <c r="E18" s="582">
        <f>'Allen Bradley MPL - Feed (1)'!INCR</f>
        <v>4</v>
      </c>
      <c r="F18" s="212" t="s">
        <v>336</v>
      </c>
      <c r="L18" s="208">
        <f ca="1">INDIRECT("'" &amp; $A$101 &amp; "'!I12")</f>
        <v>60</v>
      </c>
      <c r="M18" s="53" t="e">
        <f ca="1">INDIRECT("'" &amp; $A$101 &amp; "'!I13")</f>
        <v>#N/A</v>
      </c>
      <c r="N18" s="53" t="e">
        <f ca="1">INDIRECT("'" &amp; $A$101 &amp; "'!S13")</f>
        <v>#N/A</v>
      </c>
      <c r="O18" s="53" t="e">
        <f ca="1">INDIRECT("'" &amp; $A$101 &amp; "'!I19")</f>
        <v>#N/A</v>
      </c>
      <c r="P18" s="53" t="e">
        <f t="shared" ca="1" si="0"/>
        <v>#N/A</v>
      </c>
      <c r="Q18" s="55" t="e">
        <f ca="1">INDIRECT("'" &amp; $A$101 &amp; "'!I17")</f>
        <v>#N/A</v>
      </c>
      <c r="R18" s="53" t="e">
        <f ca="1">INDIRECT("'" &amp; $A$101 &amp; "'!S19")</f>
        <v>#N/A</v>
      </c>
      <c r="S18" s="619" t="e">
        <f t="shared" ca="1" si="1"/>
        <v>#N/A</v>
      </c>
      <c r="T18" s="580" t="e">
        <f ca="1">INDIRECT("'" &amp; $A$101 &amp; "'!S17")</f>
        <v>#N/A</v>
      </c>
    </row>
    <row r="19" spans="1:20" ht="15.75" customHeight="1" x14ac:dyDescent="0.25">
      <c r="A19" s="220" t="s">
        <v>456</v>
      </c>
      <c r="B19" s="213">
        <v>80</v>
      </c>
      <c r="C19" s="212" t="s">
        <v>457</v>
      </c>
      <c r="D19" s="220" t="str">
        <f>IF(application="Cut to Length","Shear Cyc Tim 1", "Feed Angle 1")</f>
        <v>Feed Angle 1</v>
      </c>
      <c r="E19" s="582">
        <f>'Allen Bradley MPL - Feed (1)'!FA</f>
        <v>180</v>
      </c>
      <c r="F19" s="212" t="str">
        <f>IF(application="Cut to Length","Sec.", "Deg.")</f>
        <v>Deg.</v>
      </c>
      <c r="L19" s="208">
        <f ca="1">INDIRECT("'" &amp; $A$101 &amp; "'!B21")</f>
        <v>64</v>
      </c>
      <c r="M19" s="53" t="e">
        <f ca="1">INDIRECT("'" &amp; $A$101 &amp; "'!B22")</f>
        <v>#N/A</v>
      </c>
      <c r="N19" s="53" t="e">
        <f ca="1">INDIRECT("'" &amp; $A$101 &amp; "'!L22")</f>
        <v>#N/A</v>
      </c>
      <c r="O19" s="53" t="e">
        <f ca="1">INDIRECT("'" &amp; $A$101 &amp; "'!B28")</f>
        <v>#N/A</v>
      </c>
      <c r="P19" s="53" t="e">
        <f t="shared" ca="1" si="0"/>
        <v>#N/A</v>
      </c>
      <c r="Q19" s="55" t="e">
        <f ca="1">INDIRECT("'" &amp; $A$101 &amp; "'!B26")</f>
        <v>#N/A</v>
      </c>
      <c r="R19" s="53" t="e">
        <f ca="1">INDIRECT("'" &amp; $A$101 &amp; "'!L28")</f>
        <v>#N/A</v>
      </c>
      <c r="S19" s="619" t="e">
        <f t="shared" ca="1" si="1"/>
        <v>#N/A</v>
      </c>
      <c r="T19" s="580" t="e">
        <f ca="1">INDIRECT("'" &amp; $A$101 &amp; "'!L26")</f>
        <v>#N/A</v>
      </c>
    </row>
    <row r="20" spans="1:20" ht="15.75" customHeight="1" x14ac:dyDescent="0.25">
      <c r="A20" s="220" t="s">
        <v>1386</v>
      </c>
      <c r="B20" s="697">
        <f>_xlfn.XLOOKUP(model, tblAB[Model], tblAB[Acceleration], 0, 0, 1)</f>
        <v>0</v>
      </c>
      <c r="C20" s="212" t="s">
        <v>457</v>
      </c>
      <c r="D20" s="220" t="str">
        <f>IF(application="Cut to Length","Shear Cyc Tim 2", "Feed Angle 2")</f>
        <v>Feed Angle 2</v>
      </c>
      <c r="E20" s="582">
        <f>'Allen Bradley MPL - Feed (1)'!FA_2</f>
        <v>240</v>
      </c>
      <c r="F20" s="212" t="str">
        <f>IF(application="Cut to Length","Sec.", "Deg.")</f>
        <v>Deg.</v>
      </c>
      <c r="G20" s="249" t="s">
        <v>645</v>
      </c>
      <c r="H20" s="249" t="e">
        <f ca="1">regen</f>
        <v>#N/A</v>
      </c>
      <c r="I20" s="369" t="s">
        <v>459</v>
      </c>
      <c r="L20" s="208">
        <f ca="1">INDIRECT("'" &amp; $A$101 &amp; "'!C21")</f>
        <v>68</v>
      </c>
      <c r="M20" s="53" t="e">
        <f ca="1">INDIRECT("'" &amp; $A$101 &amp; "'!C22")</f>
        <v>#N/A</v>
      </c>
      <c r="N20" s="53" t="e">
        <f ca="1">INDIRECT("'" &amp; $A$101 &amp; "'!M22")</f>
        <v>#N/A</v>
      </c>
      <c r="O20" s="53" t="e">
        <f ca="1">INDIRECT("'" &amp; $A$101 &amp; "'!C28")</f>
        <v>#N/A</v>
      </c>
      <c r="P20" s="53" t="e">
        <f t="shared" ca="1" si="0"/>
        <v>#N/A</v>
      </c>
      <c r="Q20" s="55" t="e">
        <f ca="1">INDIRECT("'" &amp; $A$101 &amp; "'!C26")</f>
        <v>#N/A</v>
      </c>
      <c r="R20" s="53" t="e">
        <f ca="1">INDIRECT("'" &amp; $A$101 &amp; "'!M28")</f>
        <v>#N/A</v>
      </c>
      <c r="S20" s="619" t="e">
        <f t="shared" ca="1" si="1"/>
        <v>#N/A</v>
      </c>
      <c r="T20" s="580" t="e">
        <f ca="1">INDIRECT("'" &amp; $A$101 &amp; "'!M26")</f>
        <v>#N/A</v>
      </c>
    </row>
    <row r="21" spans="1:20" ht="15.75" customHeight="1" x14ac:dyDescent="0.25">
      <c r="G21" s="5" t="s">
        <v>460</v>
      </c>
      <c r="H21" s="48" t="e">
        <f>VLOOKUP(model,LookupInertia,2,FALSE)</f>
        <v>#N/A</v>
      </c>
      <c r="I21" s="212" t="s">
        <v>461</v>
      </c>
      <c r="L21" s="208">
        <f ca="1">INDIRECT("'" &amp; $A$101 &amp; "'!D21")</f>
        <v>72</v>
      </c>
      <c r="M21" s="53" t="e">
        <f ca="1">INDIRECT("'" &amp; $A$101 &amp; "'!D22")</f>
        <v>#N/A</v>
      </c>
      <c r="N21" s="53" t="e">
        <f ca="1">INDIRECT("'" &amp; $A$101 &amp; "'!N22")</f>
        <v>#N/A</v>
      </c>
      <c r="O21" s="53" t="e">
        <f ca="1">INDIRECT("'" &amp; $A$101 &amp; "'!D28")</f>
        <v>#N/A</v>
      </c>
      <c r="P21" s="53" t="e">
        <f t="shared" ca="1" si="0"/>
        <v>#N/A</v>
      </c>
      <c r="Q21" s="55" t="e">
        <f ca="1">INDIRECT("'" &amp; $A$101 &amp; "'!D26")</f>
        <v>#N/A</v>
      </c>
      <c r="R21" s="53" t="e">
        <f ca="1">INDIRECT("'" &amp; $A$101 &amp; "'!N28")</f>
        <v>#N/A</v>
      </c>
      <c r="S21" s="619" t="e">
        <f t="shared" ca="1" si="1"/>
        <v>#N/A</v>
      </c>
      <c r="T21" s="580" t="e">
        <f ca="1">INDIRECT("'" &amp; $A$101 &amp; "'!N26")</f>
        <v>#N/A</v>
      </c>
    </row>
    <row r="22" spans="1:20" ht="15.75" customHeight="1" x14ac:dyDescent="0.25">
      <c r="A22" s="5" t="s">
        <v>462</v>
      </c>
      <c r="B22" s="14" t="e">
        <f>VLOOKUP(model,LookupABFeed, 3, FALSE)</f>
        <v>#N/A</v>
      </c>
      <c r="C22" s="212" t="s">
        <v>463</v>
      </c>
      <c r="D22" s="5" t="s">
        <v>464</v>
      </c>
      <c r="E22" s="14" t="e">
        <f>VLOOKUP(model,LookupABFeed,5, FALSE)</f>
        <v>#N/A</v>
      </c>
      <c r="F22" s="425" t="s">
        <v>465</v>
      </c>
      <c r="G22" s="5" t="s">
        <v>466</v>
      </c>
      <c r="H22" s="370" t="e">
        <f>reflin/MINT</f>
        <v>#N/A</v>
      </c>
      <c r="I22" s="426" t="e">
        <f>IF(MATCH&gt;12,"EXCESS",IF(AND(MATCH&gt;=10,MATCH&lt;12), "CAUTION","OK"))</f>
        <v>#N/A</v>
      </c>
      <c r="L22" s="208">
        <f ca="1">INDIRECT("'" &amp; $A$101 &amp; "'!E21")</f>
        <v>76</v>
      </c>
      <c r="M22" s="53" t="e">
        <f ca="1">INDIRECT("'" &amp; $A$101 &amp; "'!E22")</f>
        <v>#N/A</v>
      </c>
      <c r="N22" s="53" t="e">
        <f ca="1">INDIRECT("'" &amp; $A$101 &amp; "'!O22")</f>
        <v>#N/A</v>
      </c>
      <c r="O22" s="53" t="e">
        <f ca="1">INDIRECT("'" &amp; $A$101 &amp; "'!E28")</f>
        <v>#N/A</v>
      </c>
      <c r="P22" s="53" t="e">
        <f t="shared" ca="1" si="0"/>
        <v>#N/A</v>
      </c>
      <c r="Q22" s="55" t="e">
        <f ca="1">INDIRECT("'" &amp; $A$101 &amp; "'!E26")</f>
        <v>#N/A</v>
      </c>
      <c r="R22" s="53" t="e">
        <f ca="1">INDIRECT("'" &amp; $A$101 &amp; "'!O28")</f>
        <v>#N/A</v>
      </c>
      <c r="S22" s="619" t="e">
        <f t="shared" ca="1" si="1"/>
        <v>#N/A</v>
      </c>
      <c r="T22" s="580" t="e">
        <f ca="1">INDIRECT("'" &amp; $A$101 &amp; "'!O26")</f>
        <v>#N/A</v>
      </c>
    </row>
    <row r="23" spans="1:20" ht="15.75" customHeight="1" x14ac:dyDescent="0.25">
      <c r="A23" s="5" t="s">
        <v>467</v>
      </c>
      <c r="B23" s="371" t="e">
        <f>VLOOKUP(model,LookupABFeed,4,FALSE)</f>
        <v>#N/A</v>
      </c>
      <c r="C23" s="212" t="s">
        <v>461</v>
      </c>
      <c r="D23" s="5" t="s">
        <v>468</v>
      </c>
      <c r="E23" s="14" t="e">
        <f>VLOOKUP(model,LookupABFeed,6,FALSE)</f>
        <v>#N/A</v>
      </c>
      <c r="F23" s="425" t="s">
        <v>465</v>
      </c>
      <c r="G23" s="5" t="s">
        <v>469</v>
      </c>
      <c r="H23" s="249" t="e">
        <f ca="1">ACCTQ+FRICTQ+LOOPTQ</f>
        <v>#N/A</v>
      </c>
      <c r="I23" s="2" t="e">
        <f ca="1">IF(MPEAK&gt;PEAKTQ,"OK","EXCESS")</f>
        <v>#N/A</v>
      </c>
      <c r="L23" s="208">
        <f ca="1">INDIRECT("'" &amp; $A$101 &amp; "'!F21")</f>
        <v>80</v>
      </c>
      <c r="M23" s="53" t="e">
        <f ca="1">INDIRECT("'" &amp; $A$101 &amp; "'!F22")</f>
        <v>#N/A</v>
      </c>
      <c r="N23" s="53" t="e">
        <f ca="1">INDIRECT("'" &amp; $A$101 &amp; "'!P22")</f>
        <v>#N/A</v>
      </c>
      <c r="O23" s="53" t="e">
        <f ca="1">INDIRECT("'" &amp; $A$101 &amp; "'!F28")</f>
        <v>#N/A</v>
      </c>
      <c r="P23" s="53" t="e">
        <f t="shared" ca="1" si="0"/>
        <v>#N/A</v>
      </c>
      <c r="Q23" s="55" t="e">
        <f ca="1">INDIRECT("'" &amp; $A$101 &amp; "'!F26")</f>
        <v>#N/A</v>
      </c>
      <c r="R23" s="53" t="e">
        <f ca="1">INDIRECT("'" &amp; $A$101 &amp; "'!P28")</f>
        <v>#N/A</v>
      </c>
      <c r="S23" s="619" t="e">
        <f t="shared" ca="1" si="1"/>
        <v>#N/A</v>
      </c>
      <c r="T23" s="580" t="e">
        <f ca="1">INDIRECT("'" &amp; $A$101 &amp; "'!P26")</f>
        <v>#N/A</v>
      </c>
    </row>
    <row r="24" spans="1:20" ht="15.75" customHeight="1" x14ac:dyDescent="0.25">
      <c r="A24" s="5" t="s">
        <v>1129</v>
      </c>
      <c r="B24" s="249" t="e">
        <f>MRPM/RATIO*(VLOOKUP(model,LookupABFeed,13,FALSE)*PI()/720)*60</f>
        <v>#N/A</v>
      </c>
      <c r="C24" s="212" t="s">
        <v>452</v>
      </c>
      <c r="D24" s="5" t="s">
        <v>470</v>
      </c>
      <c r="E24" s="249" t="e">
        <f>((VLOOKUP(model,LookupABFeed,12,FALSE))*0.5*B18)/RATIO</f>
        <v>#N/A</v>
      </c>
      <c r="F24" s="425" t="s">
        <v>465</v>
      </c>
      <c r="G24" s="5" t="s">
        <v>471</v>
      </c>
      <c r="H24" s="249" t="e">
        <f ca="1">SQRT(((PEAKTQ^2*ACCTM)+(ACCTQ^2*ACCTM)+(SETTQ^2*SETTM)+(LOOPTQ^2*DWLTM))/CYCTM)</f>
        <v>#N/A</v>
      </c>
      <c r="I24" s="2" t="e">
        <f ca="1">IF(MRMS&gt;RMSTQ,"OK","EXCESS")</f>
        <v>#N/A</v>
      </c>
      <c r="L24" s="208">
        <f ca="1">INDIRECT("'" &amp; $A$101 &amp; "'!G21")</f>
        <v>84</v>
      </c>
      <c r="M24" s="53" t="e">
        <f ca="1">INDIRECT("'" &amp; $A$101 &amp; "'!G22")</f>
        <v>#N/A</v>
      </c>
      <c r="N24" s="53" t="e">
        <f ca="1">INDIRECT("'" &amp; $A$101 &amp; "'!Q22")</f>
        <v>#N/A</v>
      </c>
      <c r="O24" s="53" t="e">
        <f ca="1">INDIRECT("'" &amp; $A$101 &amp; "'!G28")</f>
        <v>#N/A</v>
      </c>
      <c r="P24" s="53" t="e">
        <f t="shared" ca="1" si="0"/>
        <v>#N/A</v>
      </c>
      <c r="Q24" s="55" t="e">
        <f ca="1">INDIRECT("'" &amp; $A$101 &amp; "'!G26")</f>
        <v>#N/A</v>
      </c>
      <c r="R24" s="53" t="e">
        <f ca="1">INDIRECT("'" &amp; $A$101 &amp; "'!Q28")</f>
        <v>#N/A</v>
      </c>
      <c r="S24" s="619" t="e">
        <f t="shared" ca="1" si="1"/>
        <v>#N/A</v>
      </c>
      <c r="T24" s="580" t="e">
        <f ca="1">INDIRECT("'" &amp; $A$101 &amp; "'!Q26")</f>
        <v>#N/A</v>
      </c>
    </row>
    <row r="25" spans="1:20" ht="15.75" customHeight="1" x14ac:dyDescent="0.25">
      <c r="A25" s="5" t="s">
        <v>472</v>
      </c>
      <c r="B25" s="5" t="e">
        <f>IF(MATCH&lt;10, 0.035, 0.06)</f>
        <v>#N/A</v>
      </c>
      <c r="C25" s="212" t="s">
        <v>473</v>
      </c>
      <c r="D25" s="5" t="s">
        <v>474</v>
      </c>
      <c r="E25" s="6" t="e">
        <f>((B15*C15*E15*F15*0.5)*(VLOOKUP(model,LookupABFeed,12,FALSE))*0.5)/RATIO/VLOOKUP(model,LookupABFeed,9,FALSE)</f>
        <v>#N/A</v>
      </c>
      <c r="F25" s="425" t="s">
        <v>465</v>
      </c>
      <c r="G25" s="5" t="s">
        <v>475</v>
      </c>
      <c r="H25" s="249" t="e">
        <f ca="1">SQRT(((PEAKTQ^2*ACCTM_2)+(ACCTQ^2*ACCTM_2)+(SETTQ^2*SETTM)+(LOOPTQ^2*DWLTM_2))/CYCTM_2)</f>
        <v>#N/A</v>
      </c>
      <c r="I25" s="2" t="e">
        <f ca="1">IF(MRMS&gt;RMSTQ_2,"OK","EXCESS")</f>
        <v>#N/A</v>
      </c>
      <c r="L25" s="208">
        <f ca="1">INDIRECT("'" &amp; $A$101 &amp; "'!H21")</f>
        <v>88</v>
      </c>
      <c r="M25" s="53" t="e">
        <f ca="1">INDIRECT("'" &amp; $A$101 &amp; "'!H22")</f>
        <v>#N/A</v>
      </c>
      <c r="N25" s="53" t="e">
        <f ca="1">INDIRECT("'" &amp; $A$101 &amp; "'!R22")</f>
        <v>#N/A</v>
      </c>
      <c r="O25" s="53" t="e">
        <f ca="1">INDIRECT("'" &amp; $A$101 &amp; "'!H28")</f>
        <v>#N/A</v>
      </c>
      <c r="P25" s="53" t="e">
        <f t="shared" ca="1" si="0"/>
        <v>#N/A</v>
      </c>
      <c r="Q25" s="55" t="e">
        <f ca="1">INDIRECT("'" &amp; $A$101 &amp; "'!H26")</f>
        <v>#N/A</v>
      </c>
      <c r="R25" s="53" t="e">
        <f ca="1">INDIRECT("'" &amp; $A$101 &amp; "'!R28")</f>
        <v>#N/A</v>
      </c>
      <c r="S25" s="619" t="e">
        <f t="shared" ca="1" si="1"/>
        <v>#N/A</v>
      </c>
      <c r="T25" s="580" t="e">
        <f ca="1">INDIRECT("'" &amp; $A$101 &amp; "'!R26")</f>
        <v>#N/A</v>
      </c>
    </row>
    <row r="26" spans="1:20" ht="15.75" customHeight="1" thickBot="1" x14ac:dyDescent="0.3">
      <c r="A26" s="5" t="s">
        <v>224</v>
      </c>
      <c r="B26" s="373" t="e">
        <f>VLOOKUP(model, LookupABFeed,2, FALSE)</f>
        <v>#N/A</v>
      </c>
      <c r="C26" s="212" t="s">
        <v>476</v>
      </c>
      <c r="D26" s="5" t="s">
        <v>477</v>
      </c>
      <c r="E26" s="5" t="e">
        <f>VLOOKUP(model,LookupABFeed,7,FALSE)</f>
        <v>#N/A</v>
      </c>
      <c r="F26" s="427" t="s">
        <v>465</v>
      </c>
      <c r="G26" s="5" t="s">
        <v>478</v>
      </c>
      <c r="H26" s="249" t="e">
        <f ca="1">(((reflin*RPM)/(9.55*ACCTM))/(VLOOKUP(model,LookupABFeed,9,FALSE)))+((MINT*RPM)/(9.55*ACCTM))</f>
        <v>#N/A</v>
      </c>
      <c r="I26" s="428" t="e">
        <f ca="1">IF(ACCTQ&lt;MPEAK,"OK", "EXCESS")</f>
        <v>#N/A</v>
      </c>
      <c r="L26" s="232">
        <f ca="1">INDIRECT("'" &amp; $A$101 &amp; "'!I21")</f>
        <v>92</v>
      </c>
      <c r="M26" s="233" t="e">
        <f ca="1">INDIRECT("'" &amp; $A$101 &amp; "'!I22")</f>
        <v>#N/A</v>
      </c>
      <c r="N26" s="233" t="e">
        <f ca="1">INDIRECT("'" &amp; $A$101 &amp; "'!S22")</f>
        <v>#N/A</v>
      </c>
      <c r="O26" s="233" t="e">
        <f ca="1">INDIRECT("'" &amp; $A$101 &amp; "'!I28")</f>
        <v>#N/A</v>
      </c>
      <c r="P26" s="233" t="e">
        <f t="shared" ca="1" si="0"/>
        <v>#N/A</v>
      </c>
      <c r="Q26" s="234" t="e">
        <f ca="1">INDIRECT("'" &amp; $A$101 &amp; "'!I26")</f>
        <v>#N/A</v>
      </c>
      <c r="R26" s="233" t="e">
        <f ca="1">INDIRECT("'" &amp; $A$101 &amp; "'!S28")</f>
        <v>#N/A</v>
      </c>
      <c r="S26" s="389" t="e">
        <f t="shared" ca="1" si="1"/>
        <v>#N/A</v>
      </c>
      <c r="T26" s="618" t="e">
        <f ca="1">INDIRECT("'" &amp; $A$101 &amp; "'!S26")</f>
        <v>#N/A</v>
      </c>
    </row>
    <row r="27" spans="1:20" ht="15.75" customHeight="1" x14ac:dyDescent="0.25"/>
    <row r="53" spans="1:23" x14ac:dyDescent="0.25">
      <c r="B53" s="2"/>
      <c r="C53" s="2"/>
      <c r="D53" s="2"/>
      <c r="E53" s="2"/>
      <c r="F53" s="2"/>
      <c r="G53" s="2"/>
      <c r="H53" s="2"/>
      <c r="I53" s="2"/>
    </row>
    <row r="54" spans="1:23" x14ac:dyDescent="0.25">
      <c r="B54" s="2"/>
      <c r="C54" s="2"/>
      <c r="D54" s="2"/>
      <c r="E54" s="2"/>
      <c r="F54" s="2"/>
      <c r="G54" s="2"/>
      <c r="H54" s="2"/>
      <c r="I54" s="2"/>
    </row>
    <row r="55" spans="1:23" x14ac:dyDescent="0.25">
      <c r="B55" s="2"/>
      <c r="C55" s="2"/>
      <c r="D55" s="2"/>
      <c r="E55" s="2"/>
      <c r="F55" s="2"/>
      <c r="G55" s="2"/>
      <c r="H55" s="2"/>
      <c r="I55" s="2"/>
    </row>
    <row r="56" spans="1:23" x14ac:dyDescent="0.25">
      <c r="B56" s="2"/>
      <c r="C56" s="2"/>
      <c r="D56" s="2"/>
      <c r="E56" s="2"/>
      <c r="F56" s="2"/>
      <c r="G56" s="2"/>
      <c r="H56" s="2"/>
      <c r="I56" s="2"/>
    </row>
    <row r="57" spans="1:23" x14ac:dyDescent="0.25">
      <c r="B57" s="2"/>
      <c r="C57" s="2"/>
      <c r="D57" s="2"/>
      <c r="E57" s="2"/>
      <c r="F57" s="2"/>
      <c r="G57" s="2"/>
      <c r="H57" s="2"/>
      <c r="I57" s="2"/>
    </row>
    <row r="58" spans="1:23" x14ac:dyDescent="0.25">
      <c r="B58" s="2"/>
      <c r="C58" s="2"/>
      <c r="D58" s="2"/>
      <c r="E58" s="2"/>
      <c r="F58" s="2"/>
      <c r="G58" s="2"/>
      <c r="H58" s="2"/>
      <c r="I58" s="2"/>
    </row>
    <row r="59" spans="1:23" x14ac:dyDescent="0.25">
      <c r="B59" s="2"/>
      <c r="C59" s="2"/>
      <c r="D59" s="2"/>
      <c r="E59" s="2"/>
      <c r="F59" s="2"/>
      <c r="G59" s="2"/>
      <c r="H59" s="2"/>
      <c r="I59" s="2"/>
    </row>
    <row r="60" spans="1:23" hidden="1" x14ac:dyDescent="0.25">
      <c r="B60" s="2"/>
      <c r="C60" s="2"/>
      <c r="D60" s="2"/>
      <c r="E60" s="2"/>
      <c r="F60" s="2"/>
      <c r="G60" s="2"/>
      <c r="H60" s="2"/>
      <c r="I60" s="2"/>
    </row>
    <row r="61" spans="1:23" hidden="1" x14ac:dyDescent="0.25">
      <c r="B61" s="2"/>
      <c r="C61" s="2"/>
      <c r="D61" s="2"/>
      <c r="E61" s="2"/>
      <c r="F61" s="2"/>
      <c r="G61" s="2"/>
      <c r="H61" s="2"/>
      <c r="I61" s="2"/>
    </row>
    <row r="62" spans="1:23" hidden="1" x14ac:dyDescent="0.25">
      <c r="A62" s="547" t="s">
        <v>1001</v>
      </c>
      <c r="B62" s="548"/>
      <c r="I62"/>
    </row>
    <row r="63" spans="1:23" hidden="1" x14ac:dyDescent="0.25">
      <c r="A63" s="546" t="s">
        <v>160</v>
      </c>
      <c r="B63" s="548" t="s">
        <v>1002</v>
      </c>
    </row>
    <row r="64" spans="1:23" ht="15.75" hidden="1" x14ac:dyDescent="0.25">
      <c r="A64" s="546" t="s">
        <v>766</v>
      </c>
      <c r="B64" s="548" t="e">
        <f ca="1">Inertia6!$M$41</f>
        <v>#N/A</v>
      </c>
      <c r="J64" s="236"/>
      <c r="N64" s="47"/>
      <c r="O64" s="47"/>
      <c r="P64" s="47"/>
      <c r="T64" s="240"/>
      <c r="U64" s="240"/>
      <c r="V64" s="240"/>
      <c r="W64" s="236"/>
    </row>
    <row r="65" spans="1:22" ht="15.75" hidden="1" x14ac:dyDescent="0.25">
      <c r="A65" s="546" t="s">
        <v>769</v>
      </c>
      <c r="B65" s="548" t="e">
        <f ca="1">Inertia6!$B$41</f>
        <v>#N/A</v>
      </c>
      <c r="N65" s="47"/>
      <c r="O65" s="47"/>
      <c r="P65" s="47"/>
      <c r="T65" s="240"/>
      <c r="U65" s="240"/>
      <c r="V65" s="240"/>
    </row>
    <row r="66" spans="1:22" ht="15.75" hidden="1" x14ac:dyDescent="0.25">
      <c r="A66" s="546" t="s">
        <v>772</v>
      </c>
      <c r="B66" s="548" t="e">
        <f ca="1">Inertia6!$X$41</f>
        <v>#N/A</v>
      </c>
      <c r="D66" s="40"/>
      <c r="G66" s="201"/>
      <c r="H66" s="236"/>
      <c r="I66" s="237"/>
      <c r="J66" s="236"/>
      <c r="K66" s="201"/>
      <c r="L66" s="236"/>
      <c r="M66" s="236"/>
      <c r="N66" s="238"/>
      <c r="O66" s="238"/>
      <c r="P66" s="238"/>
      <c r="Q66" s="239"/>
      <c r="T66" s="240"/>
      <c r="U66" s="240"/>
      <c r="V66" s="240"/>
    </row>
    <row r="67" spans="1:22" ht="15.75" hidden="1" x14ac:dyDescent="0.25">
      <c r="A67" s="546" t="s">
        <v>775</v>
      </c>
      <c r="B67" s="548" t="e">
        <f ca="1">Inertia6!$AI$41</f>
        <v>#N/A</v>
      </c>
      <c r="D67" s="40"/>
      <c r="G67" s="201"/>
      <c r="H67" s="236"/>
      <c r="I67" s="237"/>
      <c r="J67" s="236"/>
      <c r="K67" s="201"/>
      <c r="L67" s="236"/>
      <c r="M67" s="236"/>
      <c r="N67" s="238"/>
      <c r="O67" s="238"/>
      <c r="P67" s="238"/>
      <c r="Q67" s="239"/>
      <c r="T67" s="240"/>
      <c r="U67" s="240"/>
      <c r="V67" s="240"/>
    </row>
    <row r="68" spans="1:22" ht="15.75" hidden="1" x14ac:dyDescent="0.25">
      <c r="A68" s="557" t="s">
        <v>777</v>
      </c>
      <c r="B68" s="548" t="e">
        <f ca="1">Inertia6!$BP$43</f>
        <v>#N/A</v>
      </c>
      <c r="D68" s="40"/>
      <c r="G68" s="201"/>
      <c r="H68" s="236"/>
      <c r="I68" s="237"/>
      <c r="J68" s="236"/>
      <c r="K68" s="201"/>
      <c r="L68" s="236"/>
      <c r="M68" s="236"/>
      <c r="N68" s="238"/>
      <c r="O68" s="238"/>
      <c r="P68" s="238"/>
      <c r="Q68" s="239"/>
      <c r="T68" s="240"/>
      <c r="U68" s="240"/>
      <c r="V68" s="240"/>
    </row>
    <row r="69" spans="1:22" ht="15.75" hidden="1" x14ac:dyDescent="0.25">
      <c r="A69" s="557" t="s">
        <v>780</v>
      </c>
      <c r="B69" s="548" t="e">
        <f ca="1">Inertia6!$CL$43</f>
        <v>#N/A</v>
      </c>
      <c r="D69" s="40"/>
      <c r="G69" s="201"/>
      <c r="H69" s="236"/>
      <c r="I69" s="237"/>
      <c r="J69" s="236"/>
      <c r="K69" s="201"/>
      <c r="L69" s="236"/>
      <c r="M69" s="236"/>
      <c r="N69" s="238"/>
      <c r="O69" s="238"/>
      <c r="P69" s="238"/>
      <c r="Q69" s="239"/>
      <c r="T69" s="240"/>
      <c r="U69" s="240"/>
      <c r="V69" s="240"/>
    </row>
    <row r="70" spans="1:22" ht="15.75" hidden="1" x14ac:dyDescent="0.25">
      <c r="A70" s="546" t="s">
        <v>762</v>
      </c>
      <c r="B70" s="548" t="e">
        <f ca="1">Inertia6!$CW$46</f>
        <v>#N/A</v>
      </c>
      <c r="D70" s="40"/>
      <c r="G70" s="201"/>
      <c r="H70" s="236"/>
      <c r="I70" s="237"/>
      <c r="J70" s="236"/>
      <c r="K70" s="201"/>
      <c r="L70" s="236"/>
      <c r="M70" s="236"/>
      <c r="N70" s="238"/>
      <c r="O70" s="238"/>
      <c r="P70" s="238"/>
      <c r="Q70" s="239"/>
    </row>
    <row r="71" spans="1:22" ht="15.75" hidden="1" x14ac:dyDescent="0.25">
      <c r="A71" s="546" t="s">
        <v>784</v>
      </c>
      <c r="B71" s="548" t="e">
        <f ca="1">Inertia6!$DS$46</f>
        <v>#N/A</v>
      </c>
      <c r="D71" s="40"/>
      <c r="G71" s="201"/>
      <c r="H71" s="236"/>
      <c r="I71" s="237"/>
      <c r="J71" s="236"/>
      <c r="K71" s="201"/>
      <c r="L71" s="236"/>
      <c r="M71" s="236"/>
      <c r="N71" s="238"/>
      <c r="O71" s="238"/>
      <c r="P71" s="238"/>
      <c r="Q71" s="239"/>
    </row>
    <row r="72" spans="1:22" ht="15.75" hidden="1" x14ac:dyDescent="0.25">
      <c r="A72" s="546" t="s">
        <v>787</v>
      </c>
      <c r="B72" s="548" t="e">
        <f ca="1">Inertia6!$EE$46</f>
        <v>#N/A</v>
      </c>
      <c r="D72" s="40"/>
      <c r="G72" s="201"/>
      <c r="H72" s="236"/>
      <c r="I72" s="237"/>
      <c r="J72" s="236"/>
      <c r="K72" s="201"/>
      <c r="L72" s="236"/>
      <c r="M72" s="236"/>
      <c r="N72" s="238"/>
      <c r="O72" s="238"/>
      <c r="P72" s="238"/>
      <c r="Q72" s="239"/>
    </row>
    <row r="73" spans="1:22" hidden="1" x14ac:dyDescent="0.25"/>
    <row r="74" spans="1:22" hidden="1" x14ac:dyDescent="0.25">
      <c r="A74" s="241"/>
      <c r="B74" s="242"/>
      <c r="C74" s="554"/>
      <c r="D74" s="554"/>
      <c r="E74" s="554"/>
      <c r="F74" s="554"/>
      <c r="G74" s="554"/>
      <c r="H74" s="554"/>
      <c r="I74" s="554"/>
      <c r="J74" s="554"/>
    </row>
    <row r="75" spans="1:22" hidden="1" x14ac:dyDescent="0.25">
      <c r="A75" s="241"/>
      <c r="B75" s="242"/>
      <c r="C75" s="555"/>
      <c r="D75" s="555"/>
      <c r="E75" s="555"/>
      <c r="F75" s="5" t="s">
        <v>517</v>
      </c>
      <c r="G75" s="5" t="e">
        <f>((vel*720)/(VLOOKUP(model, LookupABFeed,12, FALSE)*PI()))*RATIO</f>
        <v>#N/A</v>
      </c>
      <c r="H75" s="2" t="e">
        <f>IF(RPM&gt;MRPM,"EXCESS","OK")</f>
        <v>#N/A</v>
      </c>
      <c r="I75" s="555"/>
      <c r="J75" s="555"/>
    </row>
    <row r="76" spans="1:22" hidden="1" x14ac:dyDescent="0.25">
      <c r="A76" s="554"/>
      <c r="B76" s="555"/>
      <c r="C76" s="555"/>
      <c r="D76" s="555"/>
      <c r="E76" s="555"/>
      <c r="F76" s="555"/>
      <c r="G76" s="555"/>
      <c r="H76" s="555"/>
      <c r="I76" s="555"/>
      <c r="J76" s="591"/>
    </row>
    <row r="77" spans="1:22" hidden="1" x14ac:dyDescent="0.25">
      <c r="A77" s="554"/>
      <c r="B77" s="548"/>
      <c r="C77" s="548" t="s">
        <v>949</v>
      </c>
      <c r="D77" s="247" t="e">
        <f>MRPM/RATIO*(VLOOKUP(model,LookupABFeed,13,FALSE)*PI()/720)</f>
        <v>#N/A</v>
      </c>
      <c r="E77" s="548"/>
      <c r="F77" s="5" t="s">
        <v>518</v>
      </c>
      <c r="G77" s="249" t="e">
        <f ca="1">(((reflin*RPM)/(9.55*ACCTM_2))/(VLOOKUP(model,LookupABFeed,9,FALSE)))+((MINT*RPM)/(9.55*ACCTM_2))</f>
        <v>#N/A</v>
      </c>
      <c r="H77" s="551"/>
      <c r="I77" s="552"/>
      <c r="J77" s="593"/>
    </row>
    <row r="78" spans="1:22" hidden="1" x14ac:dyDescent="0.25">
      <c r="A78" s="241"/>
      <c r="B78" s="548"/>
      <c r="C78" s="548"/>
      <c r="D78" s="548"/>
      <c r="E78" s="548"/>
      <c r="F78" s="554"/>
      <c r="G78" s="595"/>
      <c r="H78" s="551"/>
      <c r="I78" s="552"/>
      <c r="J78" s="553"/>
    </row>
    <row r="79" spans="1:22" hidden="1" x14ac:dyDescent="0.25">
      <c r="A79" s="241"/>
      <c r="B79" s="548"/>
      <c r="C79" s="548" t="s">
        <v>946</v>
      </c>
      <c r="D79" s="244">
        <f>StrMaxSp*12</f>
        <v>1440</v>
      </c>
      <c r="E79" s="548"/>
      <c r="F79" s="555"/>
      <c r="G79" s="595"/>
      <c r="H79" s="551"/>
      <c r="I79" s="555"/>
      <c r="J79" s="555"/>
    </row>
    <row r="80" spans="1:22" hidden="1" x14ac:dyDescent="0.25">
      <c r="A80" s="241"/>
      <c r="B80" s="548"/>
      <c r="C80" s="548"/>
      <c r="D80" s="548"/>
      <c r="E80" s="548"/>
      <c r="F80" s="554"/>
      <c r="G80" s="595"/>
      <c r="H80" s="551"/>
      <c r="I80" s="905" t="str">
        <f>IF(AND(application="Cut to Length", $E$19&gt;5), " Shear Cycle Time Must be below 5 sec.", IF(AND(application="Press Feed", $E$19&lt;=5), " Feed Angle Cannot be below 5 deg.", IF(AND(application="Cut to Length", $E$20&gt;5), " Shear Cycle Time Must be below 5 sec.", IF(AND(application="Press Feed", $E$20&lt;=5), " Feed Angle Cannot be below 5 deg.", ""))))</f>
        <v/>
      </c>
      <c r="J80" s="905"/>
      <c r="K80" s="905"/>
      <c r="L80" s="905"/>
    </row>
    <row r="81" spans="1:10" hidden="1" x14ac:dyDescent="0.25">
      <c r="A81" s="241"/>
      <c r="B81" s="548"/>
      <c r="C81" s="548"/>
      <c r="D81" s="548"/>
      <c r="E81" s="548"/>
      <c r="F81" s="554"/>
      <c r="G81" s="595"/>
      <c r="H81" s="551"/>
      <c r="I81" s="552"/>
      <c r="J81" s="553"/>
    </row>
    <row r="82" spans="1:10" hidden="1" x14ac:dyDescent="0.25">
      <c r="A82" s="241"/>
      <c r="B82" s="548"/>
      <c r="C82" s="548"/>
      <c r="D82" s="548"/>
      <c r="E82" s="548"/>
      <c r="F82" s="555"/>
      <c r="G82" s="595"/>
      <c r="H82" s="551"/>
      <c r="I82" s="555"/>
      <c r="J82" s="555"/>
    </row>
    <row r="83" spans="1:10" hidden="1" x14ac:dyDescent="0.25">
      <c r="A83" s="241"/>
      <c r="B83" s="548"/>
      <c r="C83" s="548"/>
      <c r="D83" s="548"/>
      <c r="E83" s="548"/>
      <c r="F83" s="554"/>
      <c r="G83" s="595"/>
      <c r="H83" s="551"/>
      <c r="I83" s="552"/>
      <c r="J83" s="553"/>
    </row>
    <row r="84" spans="1:10" hidden="1" x14ac:dyDescent="0.25">
      <c r="A84" s="241"/>
      <c r="B84" s="548"/>
      <c r="C84" s="548"/>
      <c r="D84" s="548"/>
      <c r="E84" s="548"/>
      <c r="F84" s="554"/>
      <c r="G84" s="595"/>
      <c r="H84" s="551"/>
      <c r="I84" s="552"/>
      <c r="J84" s="553"/>
    </row>
    <row r="85" spans="1:10" hidden="1" x14ac:dyDescent="0.25">
      <c r="A85" s="241"/>
      <c r="B85" s="548"/>
      <c r="C85" s="548"/>
      <c r="D85" s="548"/>
      <c r="E85" s="548"/>
      <c r="F85" s="555"/>
      <c r="G85" s="595"/>
      <c r="H85" s="551"/>
      <c r="I85" s="555"/>
      <c r="J85" s="555"/>
    </row>
    <row r="86" spans="1:10" hidden="1" x14ac:dyDescent="0.25">
      <c r="A86" s="241"/>
      <c r="B86" s="548"/>
      <c r="C86" s="548"/>
      <c r="D86" s="548"/>
      <c r="E86" s="548"/>
      <c r="F86" s="554"/>
      <c r="G86" s="595"/>
      <c r="H86" s="551"/>
      <c r="I86" s="552"/>
      <c r="J86" s="553"/>
    </row>
    <row r="87" spans="1:10" hidden="1" x14ac:dyDescent="0.25">
      <c r="A87" s="241"/>
      <c r="B87" s="548"/>
      <c r="C87" s="548"/>
      <c r="D87" s="548"/>
      <c r="E87" s="548"/>
      <c r="F87" s="554"/>
      <c r="G87" s="595"/>
      <c r="H87" s="551"/>
      <c r="I87" s="552"/>
      <c r="J87" s="553"/>
    </row>
    <row r="88" spans="1:10" hidden="1" x14ac:dyDescent="0.25">
      <c r="A88" s="241"/>
      <c r="B88" s="548"/>
      <c r="C88" s="548"/>
      <c r="D88" s="548"/>
      <c r="E88" s="548"/>
      <c r="F88" s="555"/>
      <c r="G88" s="595"/>
      <c r="H88" s="551"/>
      <c r="I88" s="555"/>
      <c r="J88" s="555"/>
    </row>
    <row r="89" spans="1:10" hidden="1" x14ac:dyDescent="0.25">
      <c r="A89" s="241"/>
      <c r="B89" s="548"/>
      <c r="C89" s="548"/>
      <c r="D89" s="548"/>
      <c r="E89" s="548"/>
      <c r="F89" s="554"/>
      <c r="G89" s="595"/>
      <c r="H89" s="551"/>
      <c r="I89" s="552"/>
      <c r="J89" s="553"/>
    </row>
    <row r="90" spans="1:10" hidden="1" x14ac:dyDescent="0.25">
      <c r="A90" s="241"/>
      <c r="B90" s="548"/>
      <c r="C90" s="548"/>
      <c r="D90" s="548"/>
      <c r="E90" s="548"/>
      <c r="F90" s="554"/>
      <c r="G90" s="595"/>
      <c r="H90" s="551"/>
      <c r="I90" s="552"/>
      <c r="J90" s="553"/>
    </row>
    <row r="91" spans="1:10" hidden="1" x14ac:dyDescent="0.25">
      <c r="A91" s="241"/>
      <c r="B91" s="548"/>
      <c r="C91" s="548"/>
      <c r="D91" s="548"/>
      <c r="E91" s="548"/>
      <c r="F91" s="555"/>
      <c r="G91" s="595"/>
      <c r="H91" s="551"/>
      <c r="I91" s="555"/>
      <c r="J91" s="555"/>
    </row>
    <row r="92" spans="1:10" hidden="1" x14ac:dyDescent="0.25">
      <c r="A92" s="241"/>
      <c r="B92" s="548"/>
      <c r="C92" s="548"/>
      <c r="D92" s="548"/>
      <c r="E92" s="548"/>
      <c r="F92" s="554"/>
      <c r="G92" s="595"/>
      <c r="H92" s="551"/>
      <c r="I92" s="552"/>
      <c r="J92" s="553"/>
    </row>
    <row r="93" spans="1:10" hidden="1" x14ac:dyDescent="0.25">
      <c r="A93" s="241"/>
      <c r="B93" s="548"/>
      <c r="C93" s="548"/>
      <c r="D93" s="548"/>
      <c r="E93" s="548"/>
      <c r="F93" s="554"/>
      <c r="G93" s="595"/>
      <c r="H93" s="551"/>
      <c r="I93" s="552"/>
      <c r="J93" s="553"/>
    </row>
    <row r="94" spans="1:10" hidden="1" x14ac:dyDescent="0.25">
      <c r="A94" s="241"/>
      <c r="B94" s="548"/>
      <c r="C94" s="548"/>
      <c r="D94" s="548"/>
      <c r="E94" s="548"/>
      <c r="F94" s="555"/>
      <c r="G94" s="595"/>
      <c r="H94" s="551"/>
      <c r="I94" s="555"/>
      <c r="J94" s="555"/>
    </row>
    <row r="95" spans="1:10" hidden="1" x14ac:dyDescent="0.25">
      <c r="A95" s="241"/>
      <c r="B95" s="548"/>
      <c r="C95" s="548"/>
      <c r="D95" s="548"/>
      <c r="E95" s="548"/>
      <c r="F95" s="555"/>
      <c r="G95" s="595"/>
      <c r="H95" s="551"/>
      <c r="I95" s="552"/>
      <c r="J95" s="553"/>
    </row>
    <row r="96" spans="1:10" hidden="1" x14ac:dyDescent="0.25">
      <c r="A96" s="241"/>
      <c r="B96" s="242"/>
      <c r="C96" s="242"/>
      <c r="D96" s="242"/>
      <c r="E96" s="242"/>
      <c r="F96" s="242"/>
      <c r="G96" s="242"/>
      <c r="H96" s="242"/>
      <c r="I96" s="242"/>
      <c r="J96" s="242"/>
    </row>
    <row r="97" spans="1:19" hidden="1" x14ac:dyDescent="0.25">
      <c r="B97" s="4"/>
      <c r="D97" s="40"/>
      <c r="G97" s="201"/>
      <c r="H97" s="236"/>
      <c r="I97" s="237"/>
      <c r="J97" s="236"/>
      <c r="K97" s="201"/>
      <c r="L97" s="236"/>
      <c r="M97" s="236"/>
      <c r="N97" s="544"/>
      <c r="O97" s="544"/>
      <c r="P97" s="544"/>
      <c r="Q97" s="544"/>
      <c r="R97" s="555"/>
      <c r="S97" s="555"/>
    </row>
    <row r="98" spans="1:19" hidden="1" x14ac:dyDescent="0.25">
      <c r="B98" s="4"/>
      <c r="D98" s="40"/>
      <c r="G98" s="201"/>
      <c r="H98" s="236"/>
      <c r="I98" s="237"/>
      <c r="J98" s="236"/>
      <c r="K98" s="201"/>
      <c r="L98" s="236"/>
      <c r="M98" s="236"/>
      <c r="N98" s="544"/>
      <c r="O98" s="544"/>
      <c r="P98" s="544"/>
      <c r="Q98" s="544"/>
      <c r="R98" s="555"/>
      <c r="S98" s="555"/>
    </row>
    <row r="99" spans="1:19" hidden="1" x14ac:dyDescent="0.25">
      <c r="B99" s="4"/>
      <c r="D99" s="40"/>
      <c r="G99" s="201"/>
      <c r="H99" s="236"/>
      <c r="I99" s="237"/>
      <c r="J99" s="236"/>
      <c r="K99" s="201"/>
      <c r="L99" s="236"/>
      <c r="M99" s="236"/>
      <c r="N99" s="544"/>
      <c r="O99" s="544"/>
      <c r="P99" s="544"/>
      <c r="Q99" s="544"/>
      <c r="R99" s="555"/>
      <c r="S99" s="555"/>
    </row>
    <row r="100" spans="1:19" hidden="1" x14ac:dyDescent="0.25">
      <c r="B100" s="4"/>
      <c r="D100" s="40"/>
      <c r="G100" s="201"/>
      <c r="H100" s="236"/>
      <c r="I100" s="237"/>
      <c r="J100" s="236"/>
      <c r="K100" s="201"/>
      <c r="L100" s="236"/>
      <c r="M100" s="236"/>
      <c r="N100" s="544"/>
      <c r="O100" s="544"/>
      <c r="P100" s="544"/>
      <c r="Q100" s="544"/>
      <c r="R100" s="555"/>
      <c r="S100" s="555"/>
    </row>
    <row r="101" spans="1:19" hidden="1" x14ac:dyDescent="0.25">
      <c r="A101" s="600" t="s">
        <v>1054</v>
      </c>
      <c r="B101" s="608"/>
      <c r="D101" s="40"/>
      <c r="G101" s="201"/>
      <c r="H101" s="236"/>
      <c r="I101" s="237"/>
      <c r="J101" s="236"/>
      <c r="K101" s="201"/>
      <c r="L101" s="236"/>
      <c r="M101" s="236"/>
      <c r="N101" s="544"/>
      <c r="O101" s="544"/>
      <c r="P101" s="544"/>
      <c r="Q101" s="544"/>
      <c r="R101" s="555"/>
      <c r="S101" s="555"/>
    </row>
    <row r="102" spans="1:19" hidden="1" x14ac:dyDescent="0.25">
      <c r="A102" s="600" t="s">
        <v>908</v>
      </c>
      <c r="B102" s="608" t="e">
        <f ca="1">INDIRECT("'" &amp; A$101 &amp; "'!" &amp; A102)</f>
        <v>#N/A</v>
      </c>
      <c r="D102" s="40"/>
      <c r="G102" s="201"/>
      <c r="H102" s="236"/>
      <c r="I102" s="237"/>
      <c r="J102" s="236"/>
      <c r="K102" s="201"/>
      <c r="L102" s="236"/>
      <c r="M102" s="236"/>
      <c r="N102" s="544"/>
      <c r="O102" s="544"/>
      <c r="P102" s="544"/>
      <c r="Q102" s="544"/>
      <c r="R102" s="555"/>
      <c r="S102" s="555"/>
    </row>
    <row r="103" spans="1:19" hidden="1" x14ac:dyDescent="0.25">
      <c r="A103" s="600" t="s">
        <v>909</v>
      </c>
      <c r="B103" s="608" t="e">
        <f t="shared" ref="B103:B111" ca="1" si="2">INDIRECT("'" &amp; A$101 &amp; "'!" &amp; A103)</f>
        <v>#N/A</v>
      </c>
      <c r="D103" s="40"/>
      <c r="G103" s="201"/>
      <c r="H103" s="236"/>
      <c r="I103" s="237"/>
      <c r="J103" s="236"/>
      <c r="K103" s="201"/>
      <c r="L103" s="236"/>
      <c r="M103" s="236"/>
      <c r="N103" s="544"/>
      <c r="O103" s="544"/>
      <c r="P103" s="544"/>
      <c r="Q103" s="544"/>
      <c r="R103" s="555"/>
      <c r="S103" s="555"/>
    </row>
    <row r="104" spans="1:19" hidden="1" x14ac:dyDescent="0.25">
      <c r="A104" s="602" t="s">
        <v>912</v>
      </c>
      <c r="B104" s="603" t="e">
        <f t="shared" ca="1" si="2"/>
        <v>#N/A</v>
      </c>
      <c r="C104" s="555"/>
      <c r="D104" s="555"/>
      <c r="E104" s="555"/>
      <c r="F104" s="555"/>
      <c r="G104" s="555"/>
      <c r="H104" s="555"/>
      <c r="I104" s="555"/>
      <c r="J104" s="555"/>
    </row>
    <row r="105" spans="1:19" hidden="1" x14ac:dyDescent="0.25">
      <c r="A105" s="602" t="s">
        <v>913</v>
      </c>
      <c r="B105" s="604" t="e">
        <f t="shared" ca="1" si="2"/>
        <v>#N/A</v>
      </c>
      <c r="C105" s="554"/>
      <c r="D105" s="554"/>
      <c r="E105" s="554"/>
      <c r="F105" s="554"/>
      <c r="G105" s="554"/>
      <c r="H105" s="554"/>
      <c r="I105" s="554"/>
      <c r="J105" s="554"/>
    </row>
    <row r="106" spans="1:19" hidden="1" x14ac:dyDescent="0.25">
      <c r="A106" s="602" t="s">
        <v>915</v>
      </c>
      <c r="B106" s="604" t="e">
        <f t="shared" ca="1" si="2"/>
        <v>#N/A</v>
      </c>
      <c r="C106" s="554"/>
      <c r="D106" s="554"/>
      <c r="E106" s="554"/>
      <c r="F106" s="554"/>
      <c r="G106" s="558"/>
      <c r="H106" s="559"/>
      <c r="I106" s="554"/>
      <c r="J106" s="559"/>
    </row>
    <row r="107" spans="1:19" hidden="1" x14ac:dyDescent="0.25">
      <c r="A107" s="602" t="s">
        <v>916</v>
      </c>
      <c r="B107" s="604" t="e">
        <f t="shared" ca="1" si="2"/>
        <v>#N/A</v>
      </c>
      <c r="C107" s="555"/>
      <c r="D107" s="555"/>
      <c r="E107" s="555"/>
      <c r="F107" s="555"/>
      <c r="G107" s="555"/>
      <c r="H107" s="555"/>
      <c r="I107" s="555"/>
      <c r="J107" s="555"/>
    </row>
    <row r="108" spans="1:19" hidden="1" x14ac:dyDescent="0.25">
      <c r="A108" s="602" t="s">
        <v>918</v>
      </c>
      <c r="B108" s="604" t="e">
        <f t="shared" ca="1" si="2"/>
        <v>#N/A</v>
      </c>
      <c r="C108" s="555"/>
      <c r="D108" s="555"/>
      <c r="E108" s="555"/>
      <c r="F108" s="555"/>
      <c r="G108" s="555"/>
      <c r="H108" s="555"/>
      <c r="I108" s="555"/>
      <c r="J108" s="555"/>
    </row>
    <row r="109" spans="1:19" hidden="1" x14ac:dyDescent="0.25">
      <c r="A109" s="602" t="s">
        <v>919</v>
      </c>
      <c r="B109" s="603" t="e">
        <f t="shared" ca="1" si="2"/>
        <v>#N/A</v>
      </c>
      <c r="C109" s="555"/>
      <c r="D109" s="555"/>
      <c r="E109" s="555"/>
      <c r="F109" s="555"/>
      <c r="G109" s="555"/>
      <c r="H109" s="555"/>
      <c r="I109" s="555"/>
      <c r="J109" s="555"/>
    </row>
    <row r="110" spans="1:19" hidden="1" x14ac:dyDescent="0.25">
      <c r="A110" s="602" t="s">
        <v>932</v>
      </c>
      <c r="B110" s="603" t="e">
        <f t="shared" ca="1" si="2"/>
        <v>#N/A</v>
      </c>
      <c r="C110" s="555"/>
      <c r="D110" s="555"/>
      <c r="E110" s="555"/>
      <c r="F110" s="555"/>
      <c r="G110" s="555"/>
      <c r="H110" s="555"/>
      <c r="I110" s="555"/>
      <c r="J110" s="555"/>
    </row>
    <row r="111" spans="1:19" hidden="1" x14ac:dyDescent="0.25">
      <c r="A111" s="602" t="s">
        <v>933</v>
      </c>
      <c r="B111" s="605" t="e">
        <f t="shared" ca="1" si="2"/>
        <v>#N/A</v>
      </c>
      <c r="C111" s="555"/>
      <c r="D111" s="555"/>
      <c r="E111" s="555"/>
      <c r="F111" s="555"/>
      <c r="G111" s="555"/>
      <c r="H111" s="555"/>
      <c r="I111" s="555"/>
      <c r="J111" s="555"/>
    </row>
    <row r="112" spans="1:19" hidden="1" x14ac:dyDescent="0.25">
      <c r="A112" s="600"/>
      <c r="B112" s="600"/>
    </row>
    <row r="113" spans="1:2" hidden="1" x14ac:dyDescent="0.25">
      <c r="A113" s="600"/>
      <c r="B113" s="600"/>
    </row>
    <row r="114" spans="1:2" hidden="1" x14ac:dyDescent="0.25">
      <c r="A114" s="600" t="s">
        <v>1055</v>
      </c>
      <c r="B114" s="600"/>
    </row>
    <row r="115" spans="1:2" hidden="1" x14ac:dyDescent="0.25">
      <c r="A115" s="600" t="s">
        <v>917</v>
      </c>
      <c r="B115" s="600" t="e">
        <f ca="1">INDIRECT("'" &amp; A$114 &amp; "'!" &amp; A115)</f>
        <v>#N/A</v>
      </c>
    </row>
    <row r="116" spans="1:2" hidden="1" x14ac:dyDescent="0.25">
      <c r="A116" s="600" t="s">
        <v>490</v>
      </c>
      <c r="B116" s="600" t="e">
        <f t="shared" ref="B116:B123" ca="1" si="3">INDIRECT("'" &amp; A$114 &amp; "'!" &amp; A116)</f>
        <v>#N/A</v>
      </c>
    </row>
    <row r="117" spans="1:2" hidden="1" x14ac:dyDescent="0.25">
      <c r="A117" s="600" t="s">
        <v>920</v>
      </c>
      <c r="B117" s="600" t="e">
        <f t="shared" ca="1" si="3"/>
        <v>#N/A</v>
      </c>
    </row>
    <row r="118" spans="1:2" hidden="1" x14ac:dyDescent="0.25">
      <c r="A118" s="600" t="s">
        <v>921</v>
      </c>
      <c r="B118" s="600" t="e">
        <f t="shared" ca="1" si="3"/>
        <v>#N/A</v>
      </c>
    </row>
    <row r="119" spans="1:2" hidden="1" x14ac:dyDescent="0.25">
      <c r="A119" s="600" t="s">
        <v>922</v>
      </c>
      <c r="B119" s="600" t="e">
        <f t="shared" ca="1" si="3"/>
        <v>#N/A</v>
      </c>
    </row>
    <row r="120" spans="1:2" hidden="1" x14ac:dyDescent="0.25">
      <c r="A120" s="600" t="s">
        <v>928</v>
      </c>
      <c r="B120" s="600" t="e">
        <f t="shared" ca="1" si="3"/>
        <v>#N/A</v>
      </c>
    </row>
    <row r="121" spans="1:2" hidden="1" x14ac:dyDescent="0.25">
      <c r="A121" s="600" t="s">
        <v>939</v>
      </c>
      <c r="B121" s="600" t="e">
        <f t="shared" ca="1" si="3"/>
        <v>#N/A</v>
      </c>
    </row>
    <row r="122" spans="1:2" hidden="1" x14ac:dyDescent="0.25">
      <c r="A122" s="600" t="s">
        <v>947</v>
      </c>
      <c r="B122" s="600" t="e">
        <f t="shared" ca="1" si="3"/>
        <v>#N/A</v>
      </c>
    </row>
    <row r="123" spans="1:2" hidden="1" x14ac:dyDescent="0.25">
      <c r="A123" s="600" t="s">
        <v>948</v>
      </c>
      <c r="B123" s="600" t="e">
        <f t="shared" ca="1" si="3"/>
        <v>#N/A</v>
      </c>
    </row>
    <row r="124" spans="1:2" hidden="1" x14ac:dyDescent="0.25"/>
    <row r="125" spans="1:2" hidden="1" x14ac:dyDescent="0.25"/>
  </sheetData>
  <sheetProtection algorithmName="SHA-512" hashValue="lRvIHTK58oGIfKNSg+vYfWyOqW8oWDyCJG/f/6q4HpluSjl6jVrf6bR0EFhOaV6iwOr4DfBnsrPf7yrAKYlUQA==" saltValue="cj8Q74Py5ZajJs7u940hqw==" spinCount="100000" sheet="1" objects="1" scenarios="1"/>
  <mergeCells count="9">
    <mergeCell ref="A14:A15"/>
    <mergeCell ref="I80:L80"/>
    <mergeCell ref="M1:N1"/>
    <mergeCell ref="O1:R1"/>
    <mergeCell ref="B4:D4"/>
    <mergeCell ref="B5:D5"/>
    <mergeCell ref="B6:D6"/>
    <mergeCell ref="E12:F12"/>
    <mergeCell ref="B9:C9"/>
  </mergeCells>
  <conditionalFormatting sqref="H75 I22:I25">
    <cfRule type="expression" dxfId="2" priority="7">
      <formula>H22="OK"</formula>
    </cfRule>
    <cfRule type="expression" dxfId="1" priority="8">
      <formula>H22="EXCESS"</formula>
    </cfRule>
  </conditionalFormatting>
  <conditionalFormatting sqref="B10">
    <cfRule type="cellIs" dxfId="0" priority="1" operator="lessThan">
      <formula>MatWidth</formula>
    </cfRule>
  </conditionalFormatting>
  <pageMargins left="0.75" right="0.25" top="0.75" bottom="0.75" header="0.3" footer="0.3"/>
  <pageSetup scale="5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73" r:id="rId4" name="Button 5">
              <controlPr defaultSize="0" print="0" autoFill="0" autoPict="0" macro="[0]!Tbl_Contents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342900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A87E86-A3CA-4174-B20F-A0FF3AC45B9B}">
  <sheetPr codeName="Sheet44">
    <tabColor rgb="FFFF0000"/>
  </sheetPr>
  <dimension ref="A1:L45"/>
  <sheetViews>
    <sheetView topLeftCell="A13" workbookViewId="0">
      <selection activeCell="E42" sqref="E42"/>
    </sheetView>
  </sheetViews>
  <sheetFormatPr defaultRowHeight="15" x14ac:dyDescent="0.25"/>
  <cols>
    <col min="7" max="7" width="0" hidden="1" customWidth="1"/>
  </cols>
  <sheetData>
    <row r="1" spans="1:12" x14ac:dyDescent="0.25">
      <c r="A1" s="263" t="s">
        <v>519</v>
      </c>
      <c r="B1" s="264"/>
      <c r="C1" s="264"/>
      <c r="D1" s="264"/>
      <c r="E1" s="264"/>
      <c r="F1" s="264"/>
      <c r="G1" s="264"/>
      <c r="H1" s="264"/>
      <c r="I1" s="1011" t="s">
        <v>520</v>
      </c>
      <c r="J1" s="1012"/>
      <c r="K1" s="1013"/>
      <c r="L1" s="265"/>
    </row>
    <row r="2" spans="1:12" x14ac:dyDescent="0.25">
      <c r="A2" s="266" t="s">
        <v>521</v>
      </c>
      <c r="B2" s="265"/>
      <c r="C2" s="267" t="s">
        <v>522</v>
      </c>
      <c r="D2" s="265"/>
      <c r="E2" s="265"/>
      <c r="F2" s="265"/>
      <c r="G2" s="265"/>
      <c r="H2" s="265" t="s">
        <v>523</v>
      </c>
      <c r="I2" s="1014"/>
      <c r="J2" s="1015"/>
      <c r="K2" s="1016"/>
      <c r="L2" s="265"/>
    </row>
    <row r="3" spans="1:12" ht="15.75" thickBot="1" x14ac:dyDescent="0.3">
      <c r="A3" s="268"/>
      <c r="B3" s="269"/>
      <c r="C3" s="269"/>
      <c r="D3" s="269"/>
      <c r="E3" s="269"/>
      <c r="F3" s="269"/>
      <c r="G3" s="269"/>
      <c r="H3" s="269"/>
      <c r="I3" s="1017"/>
      <c r="J3" s="1018"/>
      <c r="K3" s="1019"/>
      <c r="L3" s="265"/>
    </row>
    <row r="4" spans="1:12" x14ac:dyDescent="0.25">
      <c r="A4" s="265"/>
      <c r="B4" s="265"/>
      <c r="C4" s="265"/>
      <c r="D4" s="265"/>
      <c r="E4" s="265"/>
      <c r="F4" s="265"/>
      <c r="G4" s="265"/>
      <c r="H4" s="270"/>
      <c r="I4" s="265"/>
      <c r="J4" s="265"/>
      <c r="K4" s="265"/>
      <c r="L4" s="265"/>
    </row>
    <row r="5" spans="1:12" x14ac:dyDescent="0.25">
      <c r="A5" s="271"/>
      <c r="B5" s="272" t="s">
        <v>524</v>
      </c>
      <c r="C5" s="273"/>
      <c r="D5" s="273"/>
      <c r="E5" s="273"/>
      <c r="F5" s="273"/>
      <c r="G5" s="273"/>
      <c r="H5" s="273"/>
      <c r="I5" s="274"/>
      <c r="J5" s="270"/>
      <c r="K5" s="265"/>
      <c r="L5" s="265"/>
    </row>
    <row r="6" spans="1:12" ht="15.75" thickBot="1" x14ac:dyDescent="0.3">
      <c r="A6" s="275"/>
      <c r="B6" s="265"/>
      <c r="C6" s="265"/>
      <c r="D6" s="265"/>
      <c r="E6" s="265"/>
      <c r="F6" s="265"/>
      <c r="G6" s="265"/>
      <c r="H6" s="265"/>
      <c r="I6" s="276"/>
      <c r="J6" s="265"/>
      <c r="K6" s="265"/>
      <c r="L6" s="265"/>
    </row>
    <row r="7" spans="1:12" x14ac:dyDescent="0.25">
      <c r="A7" s="275"/>
      <c r="B7" s="1020" t="s">
        <v>525</v>
      </c>
      <c r="C7" s="1023" t="s">
        <v>526</v>
      </c>
      <c r="D7" s="1023" t="s">
        <v>527</v>
      </c>
      <c r="E7" s="1020" t="s">
        <v>528</v>
      </c>
      <c r="F7" s="1023" t="s">
        <v>529</v>
      </c>
      <c r="G7" s="277"/>
      <c r="H7" s="1020" t="s">
        <v>530</v>
      </c>
      <c r="I7" s="276"/>
      <c r="J7" s="265"/>
      <c r="K7" s="265"/>
      <c r="L7" s="265"/>
    </row>
    <row r="8" spans="1:12" x14ac:dyDescent="0.25">
      <c r="A8" s="275"/>
      <c r="B8" s="1021"/>
      <c r="C8" s="1024"/>
      <c r="D8" s="1026"/>
      <c r="E8" s="1021"/>
      <c r="F8" s="1026"/>
      <c r="G8" s="278"/>
      <c r="H8" s="1021"/>
      <c r="I8" s="276"/>
      <c r="J8" s="265"/>
      <c r="K8" s="265"/>
      <c r="L8" s="265"/>
    </row>
    <row r="9" spans="1:12" ht="15.75" thickBot="1" x14ac:dyDescent="0.3">
      <c r="A9" s="275"/>
      <c r="B9" s="1022"/>
      <c r="C9" s="1025"/>
      <c r="D9" s="1027"/>
      <c r="E9" s="1022"/>
      <c r="F9" s="1027"/>
      <c r="G9" s="279" t="s">
        <v>531</v>
      </c>
      <c r="H9" s="1022"/>
      <c r="I9" s="276"/>
      <c r="J9" s="265"/>
      <c r="K9" s="265"/>
      <c r="L9" s="265"/>
    </row>
    <row r="10" spans="1:12" ht="15.75" thickBot="1" x14ac:dyDescent="0.3">
      <c r="A10" s="275"/>
      <c r="B10" s="280"/>
      <c r="C10" s="281" t="e">
        <f ca="1">MATCH</f>
        <v>#N/A</v>
      </c>
      <c r="D10" s="282" t="e">
        <f ca="1">MINT*0.112943</f>
        <v>#N/A</v>
      </c>
      <c r="E10" s="283" t="e">
        <f ca="1">(D10+(C10*D10))</f>
        <v>#N/A</v>
      </c>
      <c r="F10" s="284" t="e">
        <f ca="1">RPM</f>
        <v>#N/A</v>
      </c>
      <c r="G10" s="285" t="e">
        <f ca="1">((C10*D10)+D10)*(F10*2*PI()/60/#REF!)*F10/63025*746*#REF!</f>
        <v>#N/A</v>
      </c>
      <c r="H10" s="285" t="e">
        <f ca="1">(Tint*(RPM^2))/182</f>
        <v>#N/A</v>
      </c>
      <c r="I10" s="276"/>
      <c r="J10" s="265"/>
      <c r="K10" s="265"/>
      <c r="L10" s="265"/>
    </row>
    <row r="11" spans="1:12" x14ac:dyDescent="0.25">
      <c r="A11" s="286"/>
      <c r="B11" s="287"/>
      <c r="C11" s="287"/>
      <c r="D11" s="288"/>
      <c r="E11" s="289"/>
      <c r="F11" s="287"/>
      <c r="G11" s="290"/>
      <c r="H11" s="290"/>
      <c r="I11" s="291"/>
      <c r="J11" s="265"/>
      <c r="K11" s="265"/>
      <c r="L11" s="265"/>
    </row>
    <row r="12" spans="1:12" x14ac:dyDescent="0.25">
      <c r="A12" s="292"/>
      <c r="B12" s="272" t="s">
        <v>532</v>
      </c>
      <c r="C12" s="273"/>
      <c r="D12" s="273"/>
      <c r="E12" s="273"/>
      <c r="F12" s="273"/>
      <c r="G12" s="273"/>
      <c r="H12" s="274"/>
      <c r="I12" s="265"/>
      <c r="J12" s="265"/>
      <c r="K12" s="265"/>
      <c r="L12" s="265"/>
    </row>
    <row r="13" spans="1:12" ht="15.75" thickBot="1" x14ac:dyDescent="0.3">
      <c r="A13" s="275"/>
      <c r="B13" s="265"/>
      <c r="C13" s="265"/>
      <c r="D13" s="265"/>
      <c r="E13" s="265"/>
      <c r="F13" s="265"/>
      <c r="G13" s="265"/>
      <c r="H13" s="276"/>
      <c r="I13" s="265"/>
      <c r="J13" s="265"/>
      <c r="K13" s="265"/>
      <c r="L13" s="265"/>
    </row>
    <row r="14" spans="1:12" ht="15.75" thickBot="1" x14ac:dyDescent="0.3">
      <c r="A14" s="293"/>
      <c r="B14" s="1033" t="s">
        <v>533</v>
      </c>
      <c r="C14" s="1033" t="s">
        <v>534</v>
      </c>
      <c r="D14" s="1020" t="s">
        <v>535</v>
      </c>
      <c r="E14" s="265"/>
      <c r="F14" s="265"/>
      <c r="G14" s="265"/>
      <c r="H14" s="276"/>
      <c r="I14" s="294" t="s">
        <v>536</v>
      </c>
      <c r="J14" s="295" t="s">
        <v>537</v>
      </c>
      <c r="K14" s="295"/>
      <c r="L14" s="295"/>
    </row>
    <row r="15" spans="1:12" ht="15.75" thickBot="1" x14ac:dyDescent="0.3">
      <c r="A15" s="296"/>
      <c r="B15" s="1033"/>
      <c r="C15" s="1033"/>
      <c r="D15" s="1021"/>
      <c r="E15" s="265"/>
      <c r="F15" s="265"/>
      <c r="G15" s="265"/>
      <c r="H15" s="276"/>
      <c r="I15" s="265"/>
      <c r="J15" s="295" t="s">
        <v>538</v>
      </c>
      <c r="K15" s="295"/>
      <c r="L15" s="295"/>
    </row>
    <row r="16" spans="1:12" ht="15.75" thickBot="1" x14ac:dyDescent="0.3">
      <c r="A16" s="297"/>
      <c r="B16" s="1033"/>
      <c r="C16" s="1033"/>
      <c r="D16" s="1022"/>
      <c r="E16" s="265"/>
      <c r="F16" s="298" t="s">
        <v>539</v>
      </c>
      <c r="G16" s="299"/>
      <c r="H16" s="300"/>
      <c r="I16" s="265"/>
      <c r="J16" s="295" t="s">
        <v>540</v>
      </c>
      <c r="K16" s="295"/>
      <c r="L16" s="295"/>
    </row>
    <row r="17" spans="1:12" ht="15.75" thickBot="1" x14ac:dyDescent="0.3">
      <c r="A17" s="296"/>
      <c r="B17" s="301" t="e">
        <f ca="1">ACCTM</f>
        <v>#N/A</v>
      </c>
      <c r="C17" s="302" t="e">
        <f ca="1">VLOOKUP(MODEL,LookupSigma5Feed,18)</f>
        <v>#N/A</v>
      </c>
      <c r="D17" s="303" t="e">
        <f ca="1" xml:space="preserve"> DecTm*LostWatts</f>
        <v>#N/A</v>
      </c>
      <c r="E17" s="265"/>
      <c r="F17" s="265"/>
      <c r="G17" s="265"/>
      <c r="H17" s="276"/>
      <c r="I17" s="265"/>
      <c r="J17" s="295" t="s">
        <v>541</v>
      </c>
      <c r="K17" s="295"/>
      <c r="L17" s="295"/>
    </row>
    <row r="18" spans="1:12" x14ac:dyDescent="0.25">
      <c r="A18" s="286"/>
      <c r="B18" s="304"/>
      <c r="C18" s="305"/>
      <c r="D18" s="305"/>
      <c r="E18" s="305"/>
      <c r="F18" s="305"/>
      <c r="G18" s="305"/>
      <c r="H18" s="291"/>
      <c r="I18" s="265"/>
      <c r="J18" s="265"/>
      <c r="K18" s="265"/>
      <c r="L18" s="265"/>
    </row>
    <row r="19" spans="1:12" x14ac:dyDescent="0.25">
      <c r="A19" s="292"/>
      <c r="B19" s="272" t="s">
        <v>542</v>
      </c>
      <c r="C19" s="273"/>
      <c r="D19" s="306"/>
      <c r="E19" s="273"/>
      <c r="F19" s="274"/>
      <c r="G19" s="265"/>
      <c r="H19" s="265"/>
      <c r="I19" s="265"/>
      <c r="J19" s="265"/>
      <c r="K19" s="265"/>
      <c r="L19" s="265"/>
    </row>
    <row r="20" spans="1:12" ht="15.75" thickBot="1" x14ac:dyDescent="0.3">
      <c r="A20" s="275"/>
      <c r="B20" s="307"/>
      <c r="C20" s="265"/>
      <c r="D20" s="308"/>
      <c r="E20" s="265"/>
      <c r="F20" s="276"/>
      <c r="G20" s="265"/>
      <c r="H20" s="265"/>
      <c r="I20" s="265"/>
      <c r="J20" s="265"/>
      <c r="K20" s="265"/>
      <c r="L20" s="265"/>
    </row>
    <row r="21" spans="1:12" x14ac:dyDescent="0.25">
      <c r="A21" s="275"/>
      <c r="B21" s="1023" t="s">
        <v>543</v>
      </c>
      <c r="C21" s="265"/>
      <c r="D21" s="308"/>
      <c r="E21" s="265"/>
      <c r="F21" s="276"/>
      <c r="G21" s="265"/>
      <c r="H21" s="265"/>
      <c r="I21" s="265"/>
      <c r="J21" s="265"/>
      <c r="K21" s="265"/>
      <c r="L21" s="265"/>
    </row>
    <row r="22" spans="1:12" x14ac:dyDescent="0.25">
      <c r="A22" s="275"/>
      <c r="B22" s="1034"/>
      <c r="C22" s="265"/>
      <c r="D22" s="309" t="s">
        <v>544</v>
      </c>
      <c r="E22" s="295" t="s">
        <v>545</v>
      </c>
      <c r="F22" s="310"/>
      <c r="G22" s="265"/>
      <c r="H22" s="265"/>
      <c r="I22" s="265"/>
      <c r="J22" s="265"/>
      <c r="K22" s="265"/>
      <c r="L22" s="265"/>
    </row>
    <row r="23" spans="1:12" x14ac:dyDescent="0.25">
      <c r="A23" s="275"/>
      <c r="B23" s="1034"/>
      <c r="C23" s="265"/>
      <c r="D23" s="308"/>
      <c r="E23" s="295" t="s">
        <v>546</v>
      </c>
      <c r="F23" s="310"/>
      <c r="G23" s="265"/>
      <c r="H23" s="265"/>
      <c r="I23" s="265"/>
      <c r="J23" s="265"/>
      <c r="K23" s="265"/>
      <c r="L23" s="265"/>
    </row>
    <row r="24" spans="1:12" ht="15.75" thickBot="1" x14ac:dyDescent="0.3">
      <c r="A24" s="275"/>
      <c r="B24" s="1035"/>
      <c r="C24" s="265"/>
      <c r="D24" s="308"/>
      <c r="E24" s="265"/>
      <c r="F24" s="276"/>
      <c r="G24" s="265"/>
      <c r="H24" s="265"/>
      <c r="I24" s="265"/>
      <c r="J24" s="265"/>
      <c r="K24" s="265"/>
      <c r="L24" s="265"/>
    </row>
    <row r="25" spans="1:12" ht="15.75" thickBot="1" x14ac:dyDescent="0.3">
      <c r="A25" s="293"/>
      <c r="B25" s="311" t="e">
        <f ca="1">VLOOKUP(MODEL,LookupSigma5Feed,17)</f>
        <v>#N/A</v>
      </c>
      <c r="C25" s="265"/>
      <c r="E25" s="265"/>
      <c r="F25" s="312"/>
      <c r="G25" s="265"/>
      <c r="H25" s="265"/>
      <c r="I25" s="265"/>
      <c r="J25" s="265"/>
      <c r="K25" s="265"/>
      <c r="L25" s="265"/>
    </row>
    <row r="26" spans="1:12" x14ac:dyDescent="0.25">
      <c r="A26" s="286"/>
      <c r="B26" s="313"/>
      <c r="C26" s="305"/>
      <c r="D26" s="314"/>
      <c r="E26" s="305"/>
      <c r="F26" s="315"/>
      <c r="G26" s="265"/>
      <c r="H26" s="265"/>
      <c r="I26" s="265"/>
      <c r="J26" s="265"/>
      <c r="K26" s="265"/>
      <c r="L26" s="265"/>
    </row>
    <row r="27" spans="1:12" x14ac:dyDescent="0.25">
      <c r="A27" s="271"/>
      <c r="B27" s="272" t="s">
        <v>547</v>
      </c>
      <c r="C27" s="316" t="s">
        <v>548</v>
      </c>
      <c r="D27" s="1036" t="s">
        <v>549</v>
      </c>
      <c r="E27" s="1036"/>
      <c r="F27" s="317" t="s">
        <v>550</v>
      </c>
      <c r="G27" s="273"/>
      <c r="H27" s="274" t="s">
        <v>551</v>
      </c>
      <c r="I27" s="265"/>
      <c r="J27" s="265"/>
      <c r="K27" s="265"/>
      <c r="L27" s="265"/>
    </row>
    <row r="28" spans="1:12" x14ac:dyDescent="0.25">
      <c r="A28" s="296"/>
      <c r="B28" s="265"/>
      <c r="C28" s="265"/>
      <c r="D28" s="1030"/>
      <c r="E28" s="1030"/>
      <c r="F28" s="265"/>
      <c r="G28" s="265"/>
      <c r="H28" s="276"/>
      <c r="I28" s="265"/>
      <c r="J28" s="265"/>
      <c r="K28" s="265"/>
      <c r="L28" s="265"/>
    </row>
    <row r="29" spans="1:12" x14ac:dyDescent="0.25">
      <c r="A29" s="275"/>
      <c r="B29" s="265"/>
      <c r="C29" s="318" t="s">
        <v>552</v>
      </c>
      <c r="D29" s="1028" t="e">
        <f ca="1">Es</f>
        <v>#N/A</v>
      </c>
      <c r="E29" s="1028"/>
      <c r="F29" s="319" t="e">
        <f ca="1">Em</f>
        <v>#N/A</v>
      </c>
      <c r="G29" s="319"/>
      <c r="H29" s="320" t="e">
        <f ca="1">Ec</f>
        <v>#N/A</v>
      </c>
      <c r="I29" s="265"/>
      <c r="J29" s="265"/>
      <c r="K29" s="265"/>
      <c r="L29" s="265"/>
    </row>
    <row r="30" spans="1:12" x14ac:dyDescent="0.25">
      <c r="A30" s="321"/>
      <c r="B30" s="305"/>
      <c r="C30" s="322" t="s">
        <v>552</v>
      </c>
      <c r="D30" s="1029" t="e">
        <f ca="1">Es-(Em+Ec)</f>
        <v>#N/A</v>
      </c>
      <c r="E30" s="1029"/>
      <c r="F30" s="323" t="s">
        <v>553</v>
      </c>
      <c r="G30" s="305"/>
      <c r="H30" s="291"/>
      <c r="I30" s="265"/>
      <c r="J30" s="265"/>
      <c r="K30" s="265"/>
      <c r="L30" s="265"/>
    </row>
    <row r="31" spans="1:12" x14ac:dyDescent="0.25">
      <c r="A31" s="305"/>
      <c r="B31" s="1030"/>
      <c r="C31" s="1030"/>
      <c r="D31" s="1030"/>
      <c r="E31" s="1030"/>
      <c r="F31" s="1030"/>
      <c r="G31" s="1030"/>
      <c r="H31" s="1030"/>
      <c r="I31" s="265"/>
      <c r="J31" s="265"/>
      <c r="K31" s="265"/>
      <c r="L31" s="265"/>
    </row>
    <row r="32" spans="1:12" ht="15.75" thickBot="1" x14ac:dyDescent="0.3">
      <c r="A32" s="292"/>
      <c r="B32" s="316" t="s">
        <v>554</v>
      </c>
      <c r="C32" s="316"/>
      <c r="D32" s="324" t="s">
        <v>555</v>
      </c>
      <c r="E32" s="325"/>
      <c r="F32" s="326"/>
      <c r="G32" s="327"/>
      <c r="H32" s="265"/>
      <c r="I32" s="265"/>
      <c r="J32" s="265"/>
      <c r="K32" s="265"/>
      <c r="L32" s="265"/>
    </row>
    <row r="33" spans="1:12" ht="15.75" thickBot="1" x14ac:dyDescent="0.3">
      <c r="A33" s="275"/>
      <c r="B33" s="1031" t="s">
        <v>556</v>
      </c>
      <c r="C33" s="328"/>
      <c r="D33" s="265" t="s">
        <v>557</v>
      </c>
      <c r="E33" s="329" t="s">
        <v>558</v>
      </c>
      <c r="F33" s="330" t="e">
        <f ca="1">Ek/T</f>
        <v>#N/A</v>
      </c>
      <c r="G33" s="331" t="s">
        <v>459</v>
      </c>
      <c r="H33" s="265"/>
      <c r="I33" s="299" t="s">
        <v>559</v>
      </c>
      <c r="J33" s="299" t="s">
        <v>560</v>
      </c>
      <c r="K33" s="299"/>
      <c r="L33" s="265"/>
    </row>
    <row r="34" spans="1:12" ht="15.75" thickBot="1" x14ac:dyDescent="0.3">
      <c r="A34" s="293"/>
      <c r="B34" s="1031"/>
      <c r="C34" s="328"/>
      <c r="D34" s="265" t="s">
        <v>561</v>
      </c>
      <c r="E34" s="265"/>
      <c r="F34" s="276"/>
      <c r="G34" s="276"/>
      <c r="H34" s="265"/>
      <c r="I34" s="265"/>
      <c r="J34" s="299" t="s">
        <v>562</v>
      </c>
      <c r="K34" s="265"/>
      <c r="L34" s="265"/>
    </row>
    <row r="35" spans="1:12" ht="15.75" thickBot="1" x14ac:dyDescent="0.3">
      <c r="A35" s="296"/>
      <c r="B35" s="1032"/>
      <c r="C35" s="332"/>
      <c r="D35" s="265"/>
      <c r="E35" s="265"/>
      <c r="F35" s="276"/>
      <c r="G35" s="276"/>
      <c r="H35" s="265"/>
      <c r="I35" s="265"/>
      <c r="J35" s="265"/>
      <c r="K35" s="265"/>
      <c r="L35" s="265"/>
    </row>
    <row r="36" spans="1:12" ht="15.75" thickBot="1" x14ac:dyDescent="0.3">
      <c r="A36" s="297"/>
      <c r="B36" s="301" t="e">
        <f ca="1">CYCTM</f>
        <v>#N/A</v>
      </c>
      <c r="C36" s="332"/>
      <c r="D36" s="333" t="s">
        <v>563</v>
      </c>
      <c r="E36" s="329"/>
      <c r="F36" s="334"/>
      <c r="G36" s="276"/>
      <c r="H36" s="265"/>
      <c r="I36" s="265"/>
      <c r="J36" s="265"/>
      <c r="K36" s="265"/>
      <c r="L36" s="265"/>
    </row>
    <row r="37" spans="1:12" x14ac:dyDescent="0.25">
      <c r="A37" s="296"/>
      <c r="B37" s="335"/>
      <c r="C37" s="265"/>
      <c r="D37" s="336"/>
      <c r="E37" s="329" t="s">
        <v>564</v>
      </c>
      <c r="F37" s="330" t="e">
        <f ca="1">(Ek)/(0.2*T)</f>
        <v>#N/A</v>
      </c>
      <c r="G37" s="276" t="s">
        <v>565</v>
      </c>
      <c r="H37" s="265"/>
      <c r="I37" s="265"/>
      <c r="J37" s="265"/>
      <c r="K37" s="265"/>
      <c r="L37" s="265"/>
    </row>
    <row r="41" spans="1:12" x14ac:dyDescent="0.25">
      <c r="A41" t="s">
        <v>1054</v>
      </c>
      <c r="D41" t="s">
        <v>829</v>
      </c>
    </row>
    <row r="42" spans="1:12" x14ac:dyDescent="0.25">
      <c r="A42" t="s">
        <v>908</v>
      </c>
      <c r="B42" t="e">
        <f ca="1">INDIRECT("'" &amp; A$41 &amp; "'!" &amp; A42)</f>
        <v>#N/A</v>
      </c>
      <c r="D42" t="s">
        <v>466</v>
      </c>
      <c r="E42" t="e">
        <f ca="1">INDIRECT("'" &amp; D$41 &amp; "'!" &amp; D42)</f>
        <v>#N/A</v>
      </c>
    </row>
    <row r="43" spans="1:12" x14ac:dyDescent="0.25">
      <c r="A43" t="s">
        <v>915</v>
      </c>
      <c r="B43" t="e">
        <f ca="1">INDIRECT("'" &amp; A$41 &amp; "'!" &amp; A43)</f>
        <v>#N/A</v>
      </c>
      <c r="D43" t="s">
        <v>930</v>
      </c>
      <c r="E43" t="e">
        <f ca="1">INDIRECT("'" &amp; D$41 &amp; "'!" &amp; D43)</f>
        <v>#N/A</v>
      </c>
    </row>
    <row r="44" spans="1:12" x14ac:dyDescent="0.25">
      <c r="D44" t="s">
        <v>985</v>
      </c>
      <c r="E44">
        <f ca="1">INDIRECT("'" &amp; D$41 &amp; "'!" &amp; D44)</f>
        <v>0</v>
      </c>
    </row>
    <row r="45" spans="1:12" x14ac:dyDescent="0.25">
      <c r="D45" t="s">
        <v>517</v>
      </c>
      <c r="E45" t="e">
        <f ca="1">INDIRECT("'" &amp; D$41 &amp; "'!" &amp; D45)</f>
        <v>#N/A</v>
      </c>
    </row>
  </sheetData>
  <mergeCells count="17">
    <mergeCell ref="I1:K3"/>
    <mergeCell ref="B7:B9"/>
    <mergeCell ref="C7:C9"/>
    <mergeCell ref="D7:D9"/>
    <mergeCell ref="E7:E9"/>
    <mergeCell ref="F7:F9"/>
    <mergeCell ref="H7:H9"/>
    <mergeCell ref="D29:E29"/>
    <mergeCell ref="D30:E30"/>
    <mergeCell ref="B31:H31"/>
    <mergeCell ref="B33:B35"/>
    <mergeCell ref="B14:B16"/>
    <mergeCell ref="C14:C16"/>
    <mergeCell ref="D14:D16"/>
    <mergeCell ref="B21:B24"/>
    <mergeCell ref="D27:E27"/>
    <mergeCell ref="D28:E28"/>
  </mergeCells>
  <pageMargins left="0.7" right="0.7" top="0.75" bottom="0.75" header="0.3" footer="0.3"/>
  <drawing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D0F96-1339-403D-81EC-F023CBFEA0F8}">
  <sheetPr codeName="Sheet45">
    <tabColor rgb="FFFF0000"/>
  </sheetPr>
  <dimension ref="A2:EL54"/>
  <sheetViews>
    <sheetView topLeftCell="A19" workbookViewId="0">
      <selection activeCell="A47" sqref="A47"/>
    </sheetView>
  </sheetViews>
  <sheetFormatPr defaultRowHeight="15" x14ac:dyDescent="0.25"/>
  <cols>
    <col min="1" max="1" width="20.28515625" bestFit="1" customWidth="1"/>
    <col min="2" max="2" width="10" bestFit="1" customWidth="1"/>
    <col min="4" max="4" width="10.28515625" bestFit="1" customWidth="1"/>
    <col min="10" max="10" width="10.42578125" customWidth="1"/>
    <col min="12" max="12" width="20.28515625" bestFit="1" customWidth="1"/>
    <col min="13" max="13" width="10" bestFit="1" customWidth="1"/>
    <col min="15" max="15" width="10" customWidth="1"/>
    <col min="21" max="21" width="10.42578125" customWidth="1"/>
    <col min="24" max="24" width="10" bestFit="1" customWidth="1"/>
    <col min="26" max="26" width="11" customWidth="1"/>
    <col min="32" max="32" width="10.85546875" customWidth="1"/>
    <col min="34" max="34" width="23.28515625" bestFit="1" customWidth="1"/>
    <col min="35" max="35" width="9.85546875" customWidth="1"/>
    <col min="37" max="37" width="10.140625" customWidth="1"/>
    <col min="43" max="43" width="10.5703125" customWidth="1"/>
    <col min="45" max="45" width="23.28515625" bestFit="1" customWidth="1"/>
    <col min="46" max="46" width="10" customWidth="1"/>
    <col min="48" max="48" width="11.140625" customWidth="1"/>
    <col min="54" max="54" width="10.5703125" customWidth="1"/>
    <col min="56" max="56" width="10.5703125" customWidth="1"/>
    <col min="57" max="57" width="10.7109375" customWidth="1"/>
    <col min="59" max="59" width="10.140625" customWidth="1"/>
    <col min="65" max="65" width="11.140625" customWidth="1"/>
    <col min="68" max="68" width="11.5703125" customWidth="1"/>
    <col min="70" max="70" width="11.140625" customWidth="1"/>
    <col min="76" max="76" width="10.5703125" customWidth="1"/>
    <col min="79" max="79" width="10.5703125" customWidth="1"/>
    <col min="81" max="81" width="11.42578125" customWidth="1"/>
    <col min="87" max="87" width="10.140625" customWidth="1"/>
    <col min="90" max="90" width="11" customWidth="1"/>
    <col min="91" max="91" width="10.42578125" customWidth="1"/>
    <col min="92" max="92" width="10.28515625" customWidth="1"/>
    <col min="98" max="98" width="10.7109375" customWidth="1"/>
    <col min="101" max="101" width="10.85546875" customWidth="1"/>
    <col min="106" max="106" width="10.42578125" customWidth="1"/>
    <col min="109" max="109" width="10.5703125" customWidth="1"/>
    <col min="112" max="112" width="12.28515625" customWidth="1"/>
    <col min="117" max="117" width="10.28515625" customWidth="1"/>
    <col min="119" max="119" width="10" customWidth="1"/>
    <col min="120" max="120" width="11.5703125" customWidth="1"/>
    <col min="122" max="122" width="21.85546875" bestFit="1" customWidth="1"/>
    <col min="123" max="123" width="11.140625" customWidth="1"/>
    <col min="128" max="128" width="12.7109375" customWidth="1"/>
    <col min="129" max="129" width="10.85546875" customWidth="1"/>
    <col min="130" max="131" width="11.140625" customWidth="1"/>
    <col min="135" max="135" width="11.42578125" bestFit="1" customWidth="1"/>
    <col min="142" max="142" width="10.7109375" customWidth="1"/>
  </cols>
  <sheetData>
    <row r="2" spans="1:142" x14ac:dyDescent="0.25">
      <c r="A2" t="s">
        <v>791</v>
      </c>
      <c r="L2" t="s">
        <v>789</v>
      </c>
      <c r="W2" t="s">
        <v>1023</v>
      </c>
      <c r="AH2" t="s">
        <v>1024</v>
      </c>
      <c r="AS2" t="s">
        <v>793</v>
      </c>
      <c r="BD2" t="s">
        <v>1025</v>
      </c>
      <c r="BO2" t="s">
        <v>1026</v>
      </c>
      <c r="BZ2" t="s">
        <v>798</v>
      </c>
      <c r="CK2" t="s">
        <v>800</v>
      </c>
      <c r="CV2" t="s">
        <v>1027</v>
      </c>
      <c r="DG2" t="s">
        <v>801</v>
      </c>
      <c r="DR2" t="s">
        <v>1028</v>
      </c>
      <c r="EC2" t="s">
        <v>1029</v>
      </c>
    </row>
    <row r="4" spans="1:142" ht="15.75" x14ac:dyDescent="0.25">
      <c r="A4" s="248"/>
      <c r="B4" s="338" t="s">
        <v>570</v>
      </c>
      <c r="C4" s="338" t="s">
        <v>571</v>
      </c>
      <c r="D4" s="338" t="s">
        <v>572</v>
      </c>
      <c r="E4" s="338" t="s">
        <v>573</v>
      </c>
      <c r="F4" s="338" t="s">
        <v>574</v>
      </c>
      <c r="G4" s="338" t="s">
        <v>575</v>
      </c>
      <c r="H4" s="338" t="s">
        <v>576</v>
      </c>
      <c r="I4" s="338" t="s">
        <v>103</v>
      </c>
      <c r="J4" s="338" t="s">
        <v>577</v>
      </c>
      <c r="L4" s="248"/>
      <c r="M4" s="338" t="s">
        <v>570</v>
      </c>
      <c r="N4" s="338" t="s">
        <v>571</v>
      </c>
      <c r="O4" s="338" t="s">
        <v>572</v>
      </c>
      <c r="P4" s="338" t="s">
        <v>573</v>
      </c>
      <c r="Q4" s="338" t="s">
        <v>574</v>
      </c>
      <c r="R4" s="338" t="s">
        <v>575</v>
      </c>
      <c r="S4" s="338" t="s">
        <v>576</v>
      </c>
      <c r="T4" s="338" t="s">
        <v>103</v>
      </c>
      <c r="U4" s="338" t="s">
        <v>577</v>
      </c>
      <c r="W4" s="248"/>
      <c r="X4" s="338" t="s">
        <v>570</v>
      </c>
      <c r="Y4" s="338" t="s">
        <v>571</v>
      </c>
      <c r="Z4" s="338" t="s">
        <v>572</v>
      </c>
      <c r="AA4" s="338" t="s">
        <v>573</v>
      </c>
      <c r="AB4" s="338" t="s">
        <v>574</v>
      </c>
      <c r="AC4" s="338" t="s">
        <v>575</v>
      </c>
      <c r="AD4" s="338" t="s">
        <v>576</v>
      </c>
      <c r="AE4" s="338" t="s">
        <v>103</v>
      </c>
      <c r="AF4" s="338" t="s">
        <v>577</v>
      </c>
      <c r="AH4" s="248"/>
      <c r="AI4" s="338" t="s">
        <v>570</v>
      </c>
      <c r="AJ4" s="338" t="s">
        <v>571</v>
      </c>
      <c r="AK4" s="338" t="s">
        <v>572</v>
      </c>
      <c r="AL4" s="338" t="s">
        <v>573</v>
      </c>
      <c r="AM4" s="338" t="s">
        <v>574</v>
      </c>
      <c r="AN4" s="338" t="s">
        <v>575</v>
      </c>
      <c r="AO4" s="338" t="s">
        <v>576</v>
      </c>
      <c r="AP4" s="338" t="s">
        <v>103</v>
      </c>
      <c r="AQ4" s="338" t="s">
        <v>577</v>
      </c>
      <c r="AS4" s="248"/>
      <c r="AT4" s="338" t="s">
        <v>570</v>
      </c>
      <c r="AU4" s="338" t="s">
        <v>571</v>
      </c>
      <c r="AV4" s="338" t="s">
        <v>572</v>
      </c>
      <c r="AW4" s="338" t="s">
        <v>573</v>
      </c>
      <c r="AX4" s="338" t="s">
        <v>574</v>
      </c>
      <c r="AY4" s="338" t="s">
        <v>575</v>
      </c>
      <c r="AZ4" s="338" t="s">
        <v>576</v>
      </c>
      <c r="BA4" s="338" t="s">
        <v>103</v>
      </c>
      <c r="BB4" s="338" t="s">
        <v>577</v>
      </c>
      <c r="BD4" s="248"/>
      <c r="BE4" s="338" t="s">
        <v>570</v>
      </c>
      <c r="BF4" s="338" t="s">
        <v>571</v>
      </c>
      <c r="BG4" s="338" t="s">
        <v>572</v>
      </c>
      <c r="BH4" s="338" t="s">
        <v>573</v>
      </c>
      <c r="BI4" s="338" t="s">
        <v>574</v>
      </c>
      <c r="BJ4" s="338" t="s">
        <v>575</v>
      </c>
      <c r="BK4" s="338" t="s">
        <v>576</v>
      </c>
      <c r="BL4" s="338" t="s">
        <v>103</v>
      </c>
      <c r="BM4" s="338" t="s">
        <v>577</v>
      </c>
      <c r="BO4" s="245"/>
      <c r="BP4" s="338" t="s">
        <v>570</v>
      </c>
      <c r="BQ4" s="338" t="s">
        <v>571</v>
      </c>
      <c r="BR4" s="338" t="s">
        <v>572</v>
      </c>
      <c r="BS4" s="338" t="s">
        <v>573</v>
      </c>
      <c r="BT4" s="338" t="s">
        <v>574</v>
      </c>
      <c r="BU4" s="338" t="s">
        <v>575</v>
      </c>
      <c r="BV4" s="338" t="s">
        <v>576</v>
      </c>
      <c r="BW4" s="338" t="s">
        <v>103</v>
      </c>
      <c r="BX4" s="338" t="s">
        <v>577</v>
      </c>
      <c r="BZ4" s="245"/>
      <c r="CA4" s="338" t="s">
        <v>570</v>
      </c>
      <c r="CB4" s="338" t="s">
        <v>571</v>
      </c>
      <c r="CC4" s="338" t="s">
        <v>572</v>
      </c>
      <c r="CD4" s="338" t="s">
        <v>573</v>
      </c>
      <c r="CE4" s="338" t="s">
        <v>574</v>
      </c>
      <c r="CF4" s="338" t="s">
        <v>575</v>
      </c>
      <c r="CG4" s="338" t="s">
        <v>576</v>
      </c>
      <c r="CH4" s="338" t="s">
        <v>103</v>
      </c>
      <c r="CI4" s="338" t="s">
        <v>577</v>
      </c>
      <c r="CK4" s="248"/>
      <c r="CL4" s="338" t="s">
        <v>570</v>
      </c>
      <c r="CM4" s="338" t="s">
        <v>571</v>
      </c>
      <c r="CN4" s="338" t="s">
        <v>572</v>
      </c>
      <c r="CO4" s="338" t="s">
        <v>573</v>
      </c>
      <c r="CP4" s="338" t="s">
        <v>574</v>
      </c>
      <c r="CQ4" s="338" t="s">
        <v>575</v>
      </c>
      <c r="CR4" s="338" t="s">
        <v>576</v>
      </c>
      <c r="CS4" s="338" t="s">
        <v>103</v>
      </c>
      <c r="CT4" s="338" t="s">
        <v>577</v>
      </c>
      <c r="CV4" s="248"/>
      <c r="CW4" s="338" t="s">
        <v>570</v>
      </c>
      <c r="CX4" s="338" t="s">
        <v>571</v>
      </c>
      <c r="CY4" s="338" t="s">
        <v>572</v>
      </c>
      <c r="CZ4" s="338" t="s">
        <v>573</v>
      </c>
      <c r="DA4" s="338" t="s">
        <v>574</v>
      </c>
      <c r="DB4" s="338" t="s">
        <v>575</v>
      </c>
      <c r="DC4" s="338" t="s">
        <v>576</v>
      </c>
      <c r="DD4" s="338" t="s">
        <v>103</v>
      </c>
      <c r="DE4" s="338" t="s">
        <v>577</v>
      </c>
      <c r="DG4" s="248"/>
      <c r="DH4" s="338" t="s">
        <v>570</v>
      </c>
      <c r="DI4" s="338" t="s">
        <v>571</v>
      </c>
      <c r="DJ4" s="338" t="s">
        <v>572</v>
      </c>
      <c r="DK4" s="338" t="s">
        <v>573</v>
      </c>
      <c r="DL4" s="338" t="s">
        <v>574</v>
      </c>
      <c r="DM4" s="338" t="s">
        <v>575</v>
      </c>
      <c r="DN4" s="338" t="s">
        <v>576</v>
      </c>
      <c r="DO4" s="338" t="s">
        <v>103</v>
      </c>
      <c r="DP4" s="338" t="s">
        <v>577</v>
      </c>
      <c r="DR4" s="248"/>
      <c r="DS4" s="338" t="s">
        <v>570</v>
      </c>
      <c r="DT4" s="338" t="s">
        <v>571</v>
      </c>
      <c r="DU4" s="338" t="s">
        <v>572</v>
      </c>
      <c r="DV4" s="338" t="s">
        <v>573</v>
      </c>
      <c r="DW4" s="338" t="s">
        <v>574</v>
      </c>
      <c r="DX4" s="338" t="s">
        <v>575</v>
      </c>
      <c r="DY4" s="338" t="s">
        <v>576</v>
      </c>
      <c r="DZ4" s="338" t="s">
        <v>103</v>
      </c>
      <c r="EA4" s="338" t="s">
        <v>577</v>
      </c>
      <c r="EC4" s="248"/>
      <c r="ED4" s="338" t="s">
        <v>570</v>
      </c>
      <c r="EE4" s="338" t="s">
        <v>571</v>
      </c>
      <c r="EF4" s="338" t="s">
        <v>572</v>
      </c>
      <c r="EG4" s="338" t="s">
        <v>573</v>
      </c>
      <c r="EH4" s="338" t="s">
        <v>574</v>
      </c>
      <c r="EI4" s="338" t="s">
        <v>575</v>
      </c>
      <c r="EJ4" s="338" t="s">
        <v>576</v>
      </c>
      <c r="EK4" s="338" t="s">
        <v>103</v>
      </c>
      <c r="EL4" s="338" t="s">
        <v>577</v>
      </c>
    </row>
    <row r="5" spans="1:142" ht="15.75" x14ac:dyDescent="0.25">
      <c r="A5" s="248"/>
      <c r="B5" s="245"/>
      <c r="C5" s="245"/>
      <c r="D5" s="245"/>
      <c r="E5" s="245"/>
      <c r="F5" s="245"/>
      <c r="G5" s="245"/>
      <c r="H5" s="245"/>
      <c r="I5" s="245"/>
      <c r="J5" s="245"/>
      <c r="L5" s="248"/>
      <c r="M5" s="245"/>
      <c r="N5" s="245"/>
      <c r="O5" s="245"/>
      <c r="P5" s="245"/>
      <c r="Q5" s="245"/>
      <c r="R5" s="245"/>
      <c r="S5" s="245"/>
      <c r="T5" s="245"/>
      <c r="U5" s="245"/>
      <c r="W5" s="248"/>
      <c r="X5" s="245"/>
      <c r="Y5" s="245"/>
      <c r="Z5" s="245"/>
      <c r="AA5" s="245"/>
      <c r="AB5" s="245"/>
      <c r="AC5" s="245"/>
      <c r="AD5" s="245"/>
      <c r="AE5" s="245"/>
      <c r="AF5" s="245"/>
      <c r="AH5" s="248"/>
      <c r="AI5" s="245"/>
      <c r="AJ5" s="245"/>
      <c r="AK5" s="245"/>
      <c r="AL5" s="245"/>
      <c r="AM5" s="245"/>
      <c r="AN5" s="245"/>
      <c r="AO5" s="245"/>
      <c r="AP5" s="245"/>
      <c r="AQ5" s="245"/>
      <c r="AS5" s="248"/>
      <c r="AT5" s="245"/>
      <c r="AU5" s="245"/>
      <c r="AV5" s="245"/>
      <c r="AW5" s="245"/>
      <c r="AX5" s="245"/>
      <c r="AY5" s="245"/>
      <c r="AZ5" s="245"/>
      <c r="BA5" s="245"/>
      <c r="BB5" s="245"/>
      <c r="BD5" s="248"/>
      <c r="BE5" s="245"/>
      <c r="BF5" s="245"/>
      <c r="BG5" s="245"/>
      <c r="BH5" s="245"/>
      <c r="BI5" s="245"/>
      <c r="BJ5" s="245"/>
      <c r="BK5" s="245"/>
      <c r="BL5" s="245"/>
      <c r="BM5" s="245"/>
      <c r="BO5" s="245"/>
      <c r="BP5" s="245"/>
      <c r="BQ5" s="245"/>
      <c r="BR5" s="245"/>
      <c r="BS5" s="245"/>
      <c r="BT5" s="245"/>
      <c r="BU5" s="245"/>
      <c r="BV5" s="245"/>
      <c r="BW5" s="245"/>
      <c r="BX5" s="245"/>
      <c r="BZ5" s="245"/>
      <c r="CA5" s="245"/>
      <c r="CB5" s="245"/>
      <c r="CC5" s="245"/>
      <c r="CD5" s="245"/>
      <c r="CE5" s="245"/>
      <c r="CF5" s="245"/>
      <c r="CG5" s="245"/>
      <c r="CH5" s="245"/>
      <c r="CI5" s="245"/>
      <c r="CK5" s="248"/>
      <c r="CL5" s="245"/>
      <c r="CM5" s="245"/>
      <c r="CN5" s="245"/>
      <c r="CO5" s="245"/>
      <c r="CP5" s="245"/>
      <c r="CQ5" s="245"/>
      <c r="CR5" s="245"/>
      <c r="CS5" s="245"/>
      <c r="CT5" s="245"/>
      <c r="CV5" s="248"/>
      <c r="CW5" s="245"/>
      <c r="CX5" s="245"/>
      <c r="CY5" s="245"/>
      <c r="CZ5" s="245"/>
      <c r="DA5" s="245"/>
      <c r="DB5" s="245"/>
      <c r="DC5" s="245"/>
      <c r="DD5" s="257"/>
      <c r="DE5" s="245"/>
      <c r="DG5" s="248"/>
      <c r="DH5" s="245"/>
      <c r="DI5" s="245"/>
      <c r="DJ5" s="245"/>
      <c r="DK5" s="245"/>
      <c r="DL5" s="245"/>
      <c r="DM5" s="245"/>
      <c r="DN5" s="245"/>
      <c r="DO5" s="257"/>
      <c r="DP5" s="245"/>
      <c r="DR5" s="248"/>
      <c r="DS5" s="245"/>
      <c r="DT5" s="245"/>
      <c r="DU5" s="245"/>
      <c r="DV5" s="245"/>
      <c r="DW5" s="245"/>
      <c r="DX5" s="245"/>
      <c r="DY5" s="245"/>
      <c r="DZ5" s="257"/>
      <c r="EA5" s="245"/>
      <c r="EC5" s="248"/>
      <c r="ED5" s="245"/>
      <c r="EE5" s="245"/>
      <c r="EF5" s="245"/>
      <c r="EG5" s="245"/>
      <c r="EH5" s="245"/>
      <c r="EI5" s="245"/>
      <c r="EJ5" s="245"/>
      <c r="EK5" s="257"/>
      <c r="EL5" s="245"/>
    </row>
    <row r="6" spans="1:142" ht="15.75" x14ac:dyDescent="0.25">
      <c r="A6" s="248"/>
      <c r="B6" s="245"/>
      <c r="C6" s="245"/>
      <c r="D6" s="245"/>
      <c r="E6" s="245"/>
      <c r="F6" s="245"/>
      <c r="G6" s="245"/>
      <c r="H6" s="245"/>
      <c r="I6" s="245"/>
      <c r="J6" s="245"/>
      <c r="L6" s="248"/>
      <c r="M6" s="245"/>
      <c r="N6" s="245"/>
      <c r="O6" s="245"/>
      <c r="P6" s="245"/>
      <c r="Q6" s="245"/>
      <c r="R6" s="245"/>
      <c r="S6" s="245"/>
      <c r="T6" s="245"/>
      <c r="U6" s="245"/>
      <c r="W6" s="248"/>
      <c r="X6" s="245"/>
      <c r="Y6" s="245"/>
      <c r="Z6" s="245"/>
      <c r="AA6" s="245"/>
      <c r="AB6" s="245"/>
      <c r="AC6" s="245"/>
      <c r="AD6" s="245"/>
      <c r="AE6" s="245"/>
      <c r="AF6" s="245"/>
      <c r="AH6" s="248"/>
      <c r="AI6" s="245"/>
      <c r="AJ6" s="245"/>
      <c r="AK6" s="245"/>
      <c r="AL6" s="245"/>
      <c r="AM6" s="245"/>
      <c r="AN6" s="245"/>
      <c r="AO6" s="245"/>
      <c r="AP6" s="245"/>
      <c r="AQ6" s="245"/>
      <c r="AS6" s="248"/>
      <c r="AT6" s="245"/>
      <c r="AU6" s="245"/>
      <c r="AV6" s="245"/>
      <c r="AW6" s="245"/>
      <c r="AX6" s="245"/>
      <c r="AY6" s="245"/>
      <c r="AZ6" s="245"/>
      <c r="BA6" s="245"/>
      <c r="BB6" s="245"/>
      <c r="BD6" s="248"/>
      <c r="BE6" s="245"/>
      <c r="BF6" s="245"/>
      <c r="BG6" s="245"/>
      <c r="BH6" s="245"/>
      <c r="BI6" s="245"/>
      <c r="BJ6" s="245"/>
      <c r="BK6" s="245"/>
      <c r="BL6" s="245"/>
      <c r="BM6" s="245"/>
      <c r="BO6" s="248"/>
      <c r="BP6" s="245"/>
      <c r="BQ6" s="245"/>
      <c r="BR6" s="245"/>
      <c r="BS6" s="245"/>
      <c r="BT6" s="245"/>
      <c r="BU6" s="429"/>
      <c r="BV6" s="254"/>
      <c r="BW6" s="245"/>
      <c r="BX6" s="245"/>
      <c r="BZ6" s="248"/>
      <c r="CA6" s="245"/>
      <c r="CB6" s="245"/>
      <c r="CC6" s="245"/>
      <c r="CD6" s="245"/>
      <c r="CE6" s="245"/>
      <c r="CF6" s="429"/>
      <c r="CG6" s="254"/>
      <c r="CH6" s="245"/>
      <c r="CI6" s="245"/>
      <c r="CK6" s="248"/>
      <c r="CL6" s="245"/>
      <c r="CM6" s="245"/>
      <c r="CN6" s="245"/>
      <c r="CO6" s="245"/>
      <c r="CP6" s="245"/>
      <c r="CQ6" s="429"/>
      <c r="CR6" s="254"/>
      <c r="CS6" s="245"/>
      <c r="CT6" s="245"/>
      <c r="CV6" s="250" t="s">
        <v>578</v>
      </c>
      <c r="CW6" s="255">
        <v>6</v>
      </c>
      <c r="CX6" s="339">
        <v>0</v>
      </c>
      <c r="CY6" s="257">
        <f ca="1">IF(RollWidth="Y", VALUE(Width)+1.725, VALUE(Width)*0.5)</f>
        <v>1.7250000000000001</v>
      </c>
      <c r="CZ6" s="251">
        <v>0.28299999999999997</v>
      </c>
      <c r="DA6" s="252">
        <v>1</v>
      </c>
      <c r="DB6" s="585">
        <f ca="1">((PI()*CY6*CZ6/4)*(CW6^2-CX6^2))*DA6</f>
        <v>13.802822942995775</v>
      </c>
      <c r="DC6" s="257">
        <f ca="1">(((DB6/386.4)*(CW6^2+CX6^2))/8)</f>
        <v>0.16074716160321167</v>
      </c>
      <c r="DD6" s="257" t="e">
        <f ca="1">Ratio</f>
        <v>#N/A</v>
      </c>
      <c r="DE6" s="257" t="e">
        <f ca="1">(DC6/(DD6^2))</f>
        <v>#N/A</v>
      </c>
      <c r="DG6" s="250" t="s">
        <v>578</v>
      </c>
      <c r="DH6" s="339">
        <v>6</v>
      </c>
      <c r="DI6" s="339">
        <v>0</v>
      </c>
      <c r="DJ6" s="257">
        <f ca="1">IF(RollWidth="Y", VALUE(Width)+1.725, VALUE(Width)*0.5)</f>
        <v>1.7250000000000001</v>
      </c>
      <c r="DK6" s="254">
        <v>0.28299999999999997</v>
      </c>
      <c r="DL6" s="252">
        <v>1</v>
      </c>
      <c r="DM6" s="585">
        <f ca="1">((PI()*DJ6*DK6/4)*(DH6^2-DI6^2))*DL6</f>
        <v>13.802822942995775</v>
      </c>
      <c r="DN6" s="257">
        <f ca="1">(((DM6/386.4)*(DH6^2+DI6^2))/8)</f>
        <v>0.16074716160321167</v>
      </c>
      <c r="DO6" s="257" t="e">
        <f ca="1">Ratio</f>
        <v>#N/A</v>
      </c>
      <c r="DP6" s="257" t="e">
        <f ca="1">(DN6/(DO6^2))</f>
        <v>#N/A</v>
      </c>
      <c r="DR6" s="250" t="s">
        <v>578</v>
      </c>
      <c r="DS6" s="341">
        <v>7</v>
      </c>
      <c r="DT6" s="341">
        <v>0</v>
      </c>
      <c r="DU6" s="258">
        <f ca="1">IF(RollWidth="Y", VALUE(Width)+1.725, VALUE(Width)*0.5)</f>
        <v>1.7250000000000001</v>
      </c>
      <c r="DV6" s="251">
        <v>0.28299999999999997</v>
      </c>
      <c r="DW6" s="252">
        <v>1</v>
      </c>
      <c r="DX6" s="585">
        <f ca="1">((PI()*DU6*DV6/4)*(DS6^2-DT6^2))*DW6</f>
        <v>18.787175672410914</v>
      </c>
      <c r="DY6" s="257">
        <f ca="1">(((DX6/386.4)*(DS6^2+DT6^2))/8)</f>
        <v>0.29780396219854255</v>
      </c>
      <c r="DZ6" s="258" t="e">
        <f ca="1">Ratio</f>
        <v>#N/A</v>
      </c>
      <c r="EA6" s="257" t="e">
        <f ca="1">(DY6/(DZ6^2))</f>
        <v>#N/A</v>
      </c>
      <c r="EC6" s="250" t="s">
        <v>578</v>
      </c>
      <c r="ED6" s="341">
        <v>8</v>
      </c>
      <c r="EE6" s="341">
        <v>0</v>
      </c>
      <c r="EF6" s="258">
        <f ca="1">VALUE(Width)*0.5</f>
        <v>0</v>
      </c>
      <c r="EG6" s="251">
        <v>0.28299999999999997</v>
      </c>
      <c r="EH6" s="252">
        <v>1</v>
      </c>
      <c r="EI6" s="585">
        <f ca="1">((PI()*EF6*EG6/4)*(ED6^2-EE6^2))*EH6</f>
        <v>0</v>
      </c>
      <c r="EJ6" s="257">
        <f ca="1">(((EI6/386.4)*(ED6^2+EE6^2))/8)</f>
        <v>0</v>
      </c>
      <c r="EK6" s="258" t="e">
        <f ca="1">Ratio</f>
        <v>#N/A</v>
      </c>
      <c r="EL6" s="257" t="e">
        <f ca="1">(EJ6/(EK6^2))</f>
        <v>#N/A</v>
      </c>
    </row>
    <row r="7" spans="1:142" ht="15.75" x14ac:dyDescent="0.25">
      <c r="A7" s="250" t="s">
        <v>578</v>
      </c>
      <c r="B7" s="251">
        <v>2.625</v>
      </c>
      <c r="C7" s="251">
        <v>0</v>
      </c>
      <c r="D7" s="257">
        <f ca="1">VALUE(Width)+0.75</f>
        <v>0.75</v>
      </c>
      <c r="E7" s="251">
        <v>0.28299999999999997</v>
      </c>
      <c r="F7" s="252">
        <v>1</v>
      </c>
      <c r="G7" s="585">
        <f ca="1">((PI()*D7*E7/4)*(B7^2-C7^2))*F7</f>
        <v>1.1486724256229499</v>
      </c>
      <c r="H7" s="257">
        <f ca="1">(((G7/386.4)*(B7^2+C7^2))/8)</f>
        <v>2.5605172531082232E-3</v>
      </c>
      <c r="I7" s="257" t="e">
        <f ca="1">Ratio</f>
        <v>#N/A</v>
      </c>
      <c r="J7" s="257" t="e">
        <f ca="1">(H7/(I7^2))</f>
        <v>#N/A</v>
      </c>
      <c r="L7" s="250" t="s">
        <v>578</v>
      </c>
      <c r="M7" s="251">
        <v>2.25</v>
      </c>
      <c r="N7" s="251">
        <v>0</v>
      </c>
      <c r="O7" s="257">
        <f ca="1">VALUE(Width)+0.75</f>
        <v>0.75</v>
      </c>
      <c r="P7" s="251">
        <v>0.28299999999999997</v>
      </c>
      <c r="Q7" s="252">
        <v>1</v>
      </c>
      <c r="R7" s="585">
        <f ca="1">((PI()*P7*O7/4)*(M7^2-N7^2))*Q7</f>
        <v>0.84392259841686124</v>
      </c>
      <c r="S7" s="257">
        <f ca="1">(((R7/386.4)*(M7^2+N7^2))/8)</f>
        <v>1.3821034402450051E-3</v>
      </c>
      <c r="T7" s="257" t="e">
        <f ca="1">Ratio</f>
        <v>#N/A</v>
      </c>
      <c r="U7" s="257" t="e">
        <f ca="1">(S7/(T7^2))</f>
        <v>#N/A</v>
      </c>
      <c r="W7" s="250" t="s">
        <v>578</v>
      </c>
      <c r="X7" s="251">
        <v>3</v>
      </c>
      <c r="Y7" s="251">
        <v>0</v>
      </c>
      <c r="Z7" s="257">
        <f ca="1">IF(RollWidth="Y", VALUE(Width)+1.99, VALUE(Width)*0.5)</f>
        <v>1.99</v>
      </c>
      <c r="AA7" s="251">
        <v>0.28299999999999997</v>
      </c>
      <c r="AB7" s="252">
        <v>1</v>
      </c>
      <c r="AC7" s="585">
        <f ca="1">((PI()*Z7*AA7/4)*(X7^2-Y7^2))*AB7</f>
        <v>3.9808141531248684</v>
      </c>
      <c r="AD7" s="257">
        <f ca="1">(((AC7/386.4)*(X7^2+Y7^2))/8)</f>
        <v>1.1590103318492436E-2</v>
      </c>
      <c r="AE7" s="257" t="e">
        <f ca="1">Ratio</f>
        <v>#N/A</v>
      </c>
      <c r="AF7" s="257" t="e">
        <f ca="1">(AD7/(AE7^2))</f>
        <v>#N/A</v>
      </c>
      <c r="AH7" s="250" t="s">
        <v>578</v>
      </c>
      <c r="AI7" s="251">
        <v>3</v>
      </c>
      <c r="AJ7" s="251">
        <v>0</v>
      </c>
      <c r="AK7" s="257">
        <f ca="1">IF(RollWidth="Y", VALUE(Width)+1.99, VALUE(Width)*0.5)</f>
        <v>1.99</v>
      </c>
      <c r="AL7" s="251">
        <v>0.28299999999999997</v>
      </c>
      <c r="AM7" s="252">
        <v>1</v>
      </c>
      <c r="AN7" s="585">
        <f ca="1">((PI()*AK7*AL7/4)*(AI7^2-AJ7^2))*AM7</f>
        <v>3.9808141531248684</v>
      </c>
      <c r="AO7" s="257">
        <f ca="1">(((AN7/386.4)*(AI7^2+AJ7^2))/8)</f>
        <v>1.1590103318492436E-2</v>
      </c>
      <c r="AP7" s="257" t="e">
        <f ca="1">Ratio</f>
        <v>#N/A</v>
      </c>
      <c r="AQ7" s="257" t="e">
        <f ca="1">(AO7/(AP7^2))</f>
        <v>#N/A</v>
      </c>
      <c r="AS7" s="250" t="s">
        <v>579</v>
      </c>
      <c r="AT7" s="251">
        <v>3</v>
      </c>
      <c r="AU7" s="251">
        <v>0</v>
      </c>
      <c r="AV7" s="257">
        <f ca="1">IF(RollWidth="Y", VALUE(Width)+1.99, VALUE(Width)*0.5)</f>
        <v>1.99</v>
      </c>
      <c r="AW7" s="251">
        <v>0.28299999999999997</v>
      </c>
      <c r="AX7" s="252">
        <v>1</v>
      </c>
      <c r="AY7" s="585">
        <f ca="1">((PI()*AV7*AW7/4)*(AT7^2-AU7^2))*AX7</f>
        <v>3.9808141531248684</v>
      </c>
      <c r="AZ7" s="257">
        <f ca="1">(((AY7/386.4)*(AT7^2+AU7^2))/8)</f>
        <v>1.1590103318492436E-2</v>
      </c>
      <c r="BA7" s="257" t="e">
        <f ca="1">Ratio</f>
        <v>#N/A</v>
      </c>
      <c r="BB7" s="257" t="e">
        <f ca="1">(AZ7/(BA7^2))</f>
        <v>#N/A</v>
      </c>
      <c r="BD7" s="250" t="s">
        <v>579</v>
      </c>
      <c r="BE7" s="251">
        <v>4</v>
      </c>
      <c r="BF7" s="251">
        <v>1</v>
      </c>
      <c r="BG7" s="257">
        <f ca="1">IF(RollWidth="Y", VALUE(Width)+1.99, VALUE(Width)*0.5)</f>
        <v>1.99</v>
      </c>
      <c r="BH7" s="251">
        <v>0.28299999999999997</v>
      </c>
      <c r="BI7" s="252">
        <v>1</v>
      </c>
      <c r="BJ7" s="585">
        <f ca="1">((PI()*BG7*BH7/4)*(BE7^2-BF7^2))*BI7</f>
        <v>6.6346902552081142</v>
      </c>
      <c r="BK7" s="257">
        <f ca="1">(((BJ7/386.4)*(BE7^2+BF7^2))/8)</f>
        <v>3.6487362298957673E-2</v>
      </c>
      <c r="BL7" s="257" t="e">
        <f ca="1">Ratio</f>
        <v>#N/A</v>
      </c>
      <c r="BM7" s="257" t="e">
        <f ca="1">(BK7/(BL7^2))</f>
        <v>#N/A</v>
      </c>
      <c r="BO7" s="250" t="s">
        <v>579</v>
      </c>
      <c r="BP7" s="251">
        <v>4</v>
      </c>
      <c r="BQ7" s="251">
        <v>1</v>
      </c>
      <c r="BR7" s="257">
        <f ca="1">IF(RollWidth="Y", VALUE(Width)+1.99, VALUE(Width)*0.5)</f>
        <v>1.99</v>
      </c>
      <c r="BS7" s="251">
        <v>0.28299999999999997</v>
      </c>
      <c r="BT7" s="252">
        <v>1</v>
      </c>
      <c r="BU7" s="585">
        <f ca="1">((PI()*BR7*BS7/4)*(BP7^2-BQ7^2))*BT7</f>
        <v>6.6346902552081142</v>
      </c>
      <c r="BV7" s="257">
        <f ca="1">(((BU7/386.4)*(BP7^2+BQ7^2))/8)</f>
        <v>3.6487362298957673E-2</v>
      </c>
      <c r="BW7" s="257" t="e">
        <f ca="1">Ratio</f>
        <v>#N/A</v>
      </c>
      <c r="BX7" s="257" t="e">
        <f ca="1">(BV7/(BW7^2))</f>
        <v>#N/A</v>
      </c>
      <c r="BZ7" s="250" t="s">
        <v>579</v>
      </c>
      <c r="CA7" s="251">
        <v>4.5</v>
      </c>
      <c r="CB7" s="251">
        <v>4</v>
      </c>
      <c r="CC7" s="257">
        <f ca="1">IF(RollWidth="Y", VALUE(Width)+1.99, VALUE(Width)*0.5)</f>
        <v>1.99</v>
      </c>
      <c r="CD7" s="251">
        <v>0.05</v>
      </c>
      <c r="CE7" s="252">
        <v>1</v>
      </c>
      <c r="CF7" s="585">
        <f ca="1">((PI()*CC7*CD7/4)*(CA7^2-CB7^2))*CE7</f>
        <v>0.33212524834669599</v>
      </c>
      <c r="CG7" s="257">
        <f ca="1">(((CF7/386.4)*(CA7^2+CB7^2))/8)</f>
        <v>3.8947788084134735E-3</v>
      </c>
      <c r="CH7" s="257" t="e">
        <f ca="1">Ratio</f>
        <v>#N/A</v>
      </c>
      <c r="CI7" s="257" t="e">
        <f ca="1">(CG7/(CH7^2))</f>
        <v>#N/A</v>
      </c>
      <c r="CK7" s="250" t="s">
        <v>579</v>
      </c>
      <c r="CL7" s="251">
        <v>5</v>
      </c>
      <c r="CM7" s="251">
        <v>0</v>
      </c>
      <c r="CN7" s="257">
        <f ca="1">IF(RollWidth="Y", VALUE(Width)+0.49, VALUE(Width)*0.5)</f>
        <v>0.49</v>
      </c>
      <c r="CO7" s="251">
        <v>0.28299999999999997</v>
      </c>
      <c r="CP7" s="252">
        <v>1</v>
      </c>
      <c r="CQ7" s="585">
        <f ca="1">((PI()*CN7*CO7/4)*(CL7^2-CM7^2))*CP7</f>
        <v>2.7227790829581036</v>
      </c>
      <c r="CR7" s="257">
        <f ca="1">(((CQ7/386.4)*(CL7^2+CM7^2))/8)</f>
        <v>2.2020405368126487E-2</v>
      </c>
      <c r="CS7" s="257" t="e">
        <f ca="1">Ratio</f>
        <v>#N/A</v>
      </c>
      <c r="CT7" s="257" t="e">
        <f ca="1">(CR7/(CS7^2))</f>
        <v>#N/A</v>
      </c>
      <c r="CV7" s="250"/>
      <c r="CW7" s="255">
        <v>4.5</v>
      </c>
      <c r="CX7" s="339">
        <v>0</v>
      </c>
      <c r="CY7" s="257">
        <f ca="1">IF(RollWidth="Y", 0, (VALUE(Width)+1.725)-(VALUE(Width)*0.5))</f>
        <v>0</v>
      </c>
      <c r="CZ7" s="251">
        <v>0.28299999999999997</v>
      </c>
      <c r="DA7" s="252">
        <v>1</v>
      </c>
      <c r="DB7" s="585">
        <f ca="1">((PI()*CY7*CZ7/4)*(CW7^2-CX7^2))*DA7</f>
        <v>0</v>
      </c>
      <c r="DC7" s="257">
        <f ca="1">(((DB7/386.4)*(CW7^2+CX7^2))/8)</f>
        <v>0</v>
      </c>
      <c r="DD7" s="257" t="e">
        <f ca="1">Ratio</f>
        <v>#N/A</v>
      </c>
      <c r="DE7" s="257" t="e">
        <f ca="1">(DC7/(DD7^2))</f>
        <v>#N/A</v>
      </c>
      <c r="DG7" s="250"/>
      <c r="DH7" s="339">
        <v>4.5</v>
      </c>
      <c r="DI7" s="339">
        <v>0</v>
      </c>
      <c r="DJ7" s="257">
        <f ca="1">IF(RollWidth="Y", 0, (VALUE(Width)+1.725)-(VALUE(Width)*0.5))</f>
        <v>0</v>
      </c>
      <c r="DK7" s="254">
        <v>0.28299999999999997</v>
      </c>
      <c r="DL7" s="252">
        <v>1</v>
      </c>
      <c r="DM7" s="585">
        <f ca="1">((PI()*DJ7*DK7/4)*(DH7^2-DI7^2))*DL7</f>
        <v>0</v>
      </c>
      <c r="DN7" s="257">
        <f ca="1">(((DM7/386.4)*(DH7^2+DI7^2))/8)</f>
        <v>0</v>
      </c>
      <c r="DO7" s="257" t="e">
        <f ca="1">Ratio</f>
        <v>#N/A</v>
      </c>
      <c r="DP7" s="257" t="e">
        <f ca="1">(DN7/(DO7^2))</f>
        <v>#N/A</v>
      </c>
      <c r="DR7" s="250"/>
      <c r="DS7" s="341">
        <v>6</v>
      </c>
      <c r="DT7" s="341">
        <v>0</v>
      </c>
      <c r="DU7" s="258">
        <f ca="1">IF(RollWidth="Y", 0, (VALUE(Width)+1.725)-(VALUE(Width)*0.5))</f>
        <v>0</v>
      </c>
      <c r="DV7" s="251">
        <v>0.28299999999999997</v>
      </c>
      <c r="DW7" s="252">
        <v>1</v>
      </c>
      <c r="DX7" s="585">
        <f ca="1">((PI()*DU7*DV7/4)*(DS7^2-DT7^2))*DW7</f>
        <v>0</v>
      </c>
      <c r="DY7" s="257">
        <f ca="1">(((DX7/386.4)*(DS7^2+DT7^2))/8)</f>
        <v>0</v>
      </c>
      <c r="DZ7" s="258" t="e">
        <f ca="1">Ratio</f>
        <v>#N/A</v>
      </c>
      <c r="EA7" s="257" t="e">
        <f ca="1">(DY7/(DZ7^2))</f>
        <v>#N/A</v>
      </c>
      <c r="EC7" s="250"/>
      <c r="ED7" s="341">
        <v>7</v>
      </c>
      <c r="EE7" s="341">
        <v>0</v>
      </c>
      <c r="EF7" s="258">
        <f ca="1">(VALUE(Width)+1.75)-(VALUE(Width)*0.5)</f>
        <v>1.75</v>
      </c>
      <c r="EG7" s="251">
        <v>0.28299999999999997</v>
      </c>
      <c r="EH7" s="252">
        <v>1</v>
      </c>
      <c r="EI7" s="585">
        <f ca="1">((PI()*EF7*EG7/4)*(ED7^2-EE7^2))*EH7</f>
        <v>19.059453580706723</v>
      </c>
      <c r="EJ7" s="257">
        <f ca="1">(((EI7/386.4)*(ED7^2+EE7^2))/8)</f>
        <v>0.30211996165069532</v>
      </c>
      <c r="EK7" s="258" t="e">
        <f ca="1">Ratio</f>
        <v>#N/A</v>
      </c>
      <c r="EL7" s="257" t="e">
        <f ca="1">(EJ7/(EK7^2))</f>
        <v>#N/A</v>
      </c>
    </row>
    <row r="8" spans="1:142" ht="15.75" x14ac:dyDescent="0.25">
      <c r="A8" s="250" t="s">
        <v>580</v>
      </c>
      <c r="B8" s="251">
        <v>1</v>
      </c>
      <c r="C8" s="251">
        <v>0</v>
      </c>
      <c r="D8" s="251">
        <v>4.25</v>
      </c>
      <c r="E8" s="251">
        <v>0.28299999999999997</v>
      </c>
      <c r="F8" s="257">
        <v>1</v>
      </c>
      <c r="G8" s="585">
        <f>((PI()*D8*E8/4)*(B8^2-C8^2))*F8</f>
        <v>0.94463764102628089</v>
      </c>
      <c r="H8" s="257">
        <f>(((G8/386.4)*(B8^2+C8^2))/8)</f>
        <v>3.0558929898624515E-4</v>
      </c>
      <c r="I8" s="257" t="e">
        <f ca="1">Ratio</f>
        <v>#N/A</v>
      </c>
      <c r="J8" s="257" t="e">
        <f ca="1">(H8/(I8^2))</f>
        <v>#N/A</v>
      </c>
      <c r="L8" s="250" t="s">
        <v>580</v>
      </c>
      <c r="M8" s="251">
        <v>1</v>
      </c>
      <c r="N8" s="251">
        <v>0</v>
      </c>
      <c r="O8" s="251">
        <v>4.25</v>
      </c>
      <c r="P8" s="251">
        <v>0.28299999999999997</v>
      </c>
      <c r="Q8" s="257">
        <v>1</v>
      </c>
      <c r="R8" s="585">
        <f>((PI()*P8*O8/4)*(M8^2-N8^2))*Q8</f>
        <v>0.94463764102628078</v>
      </c>
      <c r="S8" s="257">
        <f>(((R8/386.4)*(M8^2+N8^2))/8)</f>
        <v>3.055892989862451E-4</v>
      </c>
      <c r="T8" s="257" t="e">
        <f ca="1">Ratio</f>
        <v>#N/A</v>
      </c>
      <c r="U8" s="257" t="e">
        <f ca="1">(S8/(T8^2))</f>
        <v>#N/A</v>
      </c>
      <c r="W8" s="250" t="s">
        <v>1030</v>
      </c>
      <c r="X8" s="251">
        <v>2.63</v>
      </c>
      <c r="Y8" s="251">
        <v>0</v>
      </c>
      <c r="Z8" s="257">
        <f ca="1">IF(RollWidth="Y", 0, VALUE(Width)*0.5+1.99)</f>
        <v>0</v>
      </c>
      <c r="AA8" s="251">
        <v>0.28299999999999997</v>
      </c>
      <c r="AB8" s="252">
        <v>1</v>
      </c>
      <c r="AC8" s="585">
        <f ca="1">((PI()*Z8*AA8/4)*(X8^2-Y8^2))*AB8</f>
        <v>0</v>
      </c>
      <c r="AD8" s="257">
        <f ca="1">(((AC8/386.4)*(X8^2+Y8^2))/8)</f>
        <v>0</v>
      </c>
      <c r="AE8" s="257" t="e">
        <f ca="1">Ratio</f>
        <v>#N/A</v>
      </c>
      <c r="AF8" s="257" t="e">
        <f ca="1">(AD8/(AE8^2))</f>
        <v>#N/A</v>
      </c>
      <c r="AH8" s="250" t="s">
        <v>1030</v>
      </c>
      <c r="AI8" s="251">
        <v>2.625</v>
      </c>
      <c r="AJ8" s="251">
        <v>0</v>
      </c>
      <c r="AK8" s="257">
        <f ca="1">IF(RollWidth="Y", 0, VALUE(Width)*0.5+1.99)</f>
        <v>0</v>
      </c>
      <c r="AL8" s="251">
        <v>0.28299999999999997</v>
      </c>
      <c r="AM8" s="252">
        <v>1</v>
      </c>
      <c r="AN8" s="585">
        <f ca="1">((PI()*AK8*AL8/4)*(AI8^2-AJ8^2))*AM8</f>
        <v>0</v>
      </c>
      <c r="AO8" s="257">
        <f ca="1">(((AN8/386.4)*(AI8^2+AJ8^2))/8)</f>
        <v>0</v>
      </c>
      <c r="AP8" s="257" t="e">
        <f ca="1">Ratio</f>
        <v>#N/A</v>
      </c>
      <c r="AQ8" s="257" t="e">
        <f ca="1">(AO8/(AP8^2))</f>
        <v>#N/A</v>
      </c>
      <c r="AS8" s="250" t="s">
        <v>1030</v>
      </c>
      <c r="AT8" s="251">
        <v>2.63</v>
      </c>
      <c r="AU8" s="251">
        <v>0</v>
      </c>
      <c r="AV8" s="257">
        <f ca="1">IF(RollWidth="Y", 0, VALUE(Width)*0.5+1.99)</f>
        <v>0</v>
      </c>
      <c r="AW8" s="251">
        <v>0.28299999999999997</v>
      </c>
      <c r="AX8" s="257">
        <v>1</v>
      </c>
      <c r="AY8" s="585">
        <f ca="1">((PI()*AV8*AW8/4)*(AT8^2-AU8^2))*AX8</f>
        <v>0</v>
      </c>
      <c r="AZ8" s="257">
        <f ca="1">(((AY8/386.4)*(AT8^2+AU8^2))/8)</f>
        <v>0</v>
      </c>
      <c r="BA8" s="257" t="e">
        <f ca="1">Ratio</f>
        <v>#N/A</v>
      </c>
      <c r="BB8" s="257" t="e">
        <f ca="1">(AZ8/(BA8^2))</f>
        <v>#N/A</v>
      </c>
      <c r="BD8" s="250" t="s">
        <v>1030</v>
      </c>
      <c r="BE8" s="251">
        <v>3.63</v>
      </c>
      <c r="BF8" s="251">
        <v>0</v>
      </c>
      <c r="BG8" s="257">
        <f ca="1">IF(RollWidth="Y", 0, VALUE(Width)*0.5+1.99)</f>
        <v>0</v>
      </c>
      <c r="BH8" s="251">
        <v>0.28299999999999997</v>
      </c>
      <c r="BI8" s="257">
        <v>1</v>
      </c>
      <c r="BJ8" s="585">
        <f ca="1">((PI()*BG8*BH8/4)*(BE8^2-BF8^2))*BI8</f>
        <v>0</v>
      </c>
      <c r="BK8" s="257">
        <f ca="1">(((BJ8/386.4)*(BE8^2+BF8^2))/8)</f>
        <v>0</v>
      </c>
      <c r="BL8" s="257" t="e">
        <f ca="1">Ratio</f>
        <v>#N/A</v>
      </c>
      <c r="BM8" s="257" t="e">
        <f ca="1">(BK8/(BL8^2))</f>
        <v>#N/A</v>
      </c>
      <c r="BO8" s="250" t="s">
        <v>581</v>
      </c>
      <c r="BP8" s="251">
        <v>3.63</v>
      </c>
      <c r="BQ8" s="251">
        <v>0</v>
      </c>
      <c r="BR8" s="257">
        <f ca="1">IF(RollWidth="Y", 0, VALUE(Width)*0.5+1.99)</f>
        <v>0</v>
      </c>
      <c r="BS8" s="251">
        <v>0.28299999999999997</v>
      </c>
      <c r="BT8" s="257">
        <v>1</v>
      </c>
      <c r="BU8" s="585">
        <f ca="1">((PI()*BR8*BS8/4)*(BP8^2-BQ8^2))*BT8</f>
        <v>0</v>
      </c>
      <c r="BV8" s="257">
        <f ca="1">(((BU8/386.4)*(BP8^2+BQ8^2))/8)</f>
        <v>0</v>
      </c>
      <c r="BW8" s="257" t="e">
        <f ca="1">Ratio</f>
        <v>#N/A</v>
      </c>
      <c r="BX8" s="257" t="e">
        <f ca="1">(BV8/(BW8^2))</f>
        <v>#N/A</v>
      </c>
      <c r="BZ8" s="250" t="s">
        <v>1030</v>
      </c>
      <c r="CA8" s="251">
        <v>4</v>
      </c>
      <c r="CB8" s="251">
        <v>3.375</v>
      </c>
      <c r="CC8" s="257">
        <f ca="1">IF(RollWidth="Y", VALUE(Width)+1.99, VALUE(Width)*0.5)</f>
        <v>1.99</v>
      </c>
      <c r="CD8" s="251">
        <v>0.28299999999999997</v>
      </c>
      <c r="CE8" s="257">
        <v>1</v>
      </c>
      <c r="CF8" s="585">
        <f ca="1">((PI()*CC8*CD8/4)*(CA8^2-CB8^2))*CE8</f>
        <v>2.0387850263399936</v>
      </c>
      <c r="CG8" s="257">
        <f ca="1">(((CF8/386.4)*(CA8^2+CB8^2))/8)</f>
        <v>1.8065345533156668E-2</v>
      </c>
      <c r="CH8" s="257" t="e">
        <f ca="1">Ratio</f>
        <v>#N/A</v>
      </c>
      <c r="CI8" s="257" t="e">
        <f ca="1">(CG8/(CH8^2))</f>
        <v>#N/A</v>
      </c>
      <c r="CK8" s="250" t="s">
        <v>1030</v>
      </c>
      <c r="CL8" s="251">
        <v>4</v>
      </c>
      <c r="CM8" s="251">
        <v>0</v>
      </c>
      <c r="CN8" s="257">
        <f ca="1">IF(RollWidth="Y", 0, VALUE(Width)*0.5+1.73)</f>
        <v>0</v>
      </c>
      <c r="CO8" s="251">
        <v>0.28299999999999997</v>
      </c>
      <c r="CP8" s="257">
        <v>1</v>
      </c>
      <c r="CQ8" s="585">
        <f ca="1">((PI()*CN8*CO8/4)*(CL8^2-CM8^2))*CP8</f>
        <v>0</v>
      </c>
      <c r="CR8" s="257">
        <f ca="1">(((CQ8/386.4)*(CL8^2+CM8^2))/8)</f>
        <v>0</v>
      </c>
      <c r="CS8" s="257" t="e">
        <f ca="1">Ratio</f>
        <v>#N/A</v>
      </c>
      <c r="CT8" s="257" t="e">
        <f ca="1">(CR8/(CS8^2))</f>
        <v>#N/A</v>
      </c>
      <c r="CV8" s="250" t="s">
        <v>580</v>
      </c>
      <c r="CW8" s="255">
        <v>2.7549999999999999</v>
      </c>
      <c r="CX8" s="339">
        <v>0</v>
      </c>
      <c r="CY8" s="339">
        <v>4.6500000000000004</v>
      </c>
      <c r="CZ8" s="251">
        <v>0.28299999999999997</v>
      </c>
      <c r="DA8" s="257">
        <v>1</v>
      </c>
      <c r="DB8" s="585">
        <f>((PI()*CY8*CZ8/4)*(CW8^2-CX8^2))*DA8</f>
        <v>7.8446302112204274</v>
      </c>
      <c r="DC8" s="257">
        <f>(((DB8/386.4)*(CW8^2+CX8^2))/8)</f>
        <v>1.9261432265436831E-2</v>
      </c>
      <c r="DD8" s="257" t="e">
        <f ca="1">Ratio</f>
        <v>#N/A</v>
      </c>
      <c r="DE8" s="257" t="e">
        <f ca="1">(DC8/(DD8^2))</f>
        <v>#N/A</v>
      </c>
      <c r="DG8" s="250" t="s">
        <v>580</v>
      </c>
      <c r="DH8" s="339">
        <v>2.76</v>
      </c>
      <c r="DI8" s="339">
        <v>0</v>
      </c>
      <c r="DJ8" s="339">
        <v>4.6500000000000004</v>
      </c>
      <c r="DK8" s="254">
        <v>0.28299999999999997</v>
      </c>
      <c r="DL8" s="257">
        <v>1</v>
      </c>
      <c r="DM8" s="585">
        <f>((PI()*DJ8*DK8/4)*(DH8^2-DI8^2))*DL8</f>
        <v>7.873130206684789</v>
      </c>
      <c r="DN8" s="257">
        <f>(((DM8/386.4)*(DH8^2+DI8^2))/8)</f>
        <v>1.9401642295044656E-2</v>
      </c>
      <c r="DO8" s="257" t="e">
        <f ca="1">Ratio</f>
        <v>#N/A</v>
      </c>
      <c r="DP8" s="257" t="e">
        <f ca="1">(DN8/(DO8^2))</f>
        <v>#N/A</v>
      </c>
      <c r="DR8" s="250" t="s">
        <v>580</v>
      </c>
      <c r="DS8" s="341">
        <v>2.75</v>
      </c>
      <c r="DT8" s="341">
        <v>0</v>
      </c>
      <c r="DU8" s="342">
        <v>4.63</v>
      </c>
      <c r="DV8" s="251">
        <v>0.28299999999999997</v>
      </c>
      <c r="DW8" s="257">
        <v>1</v>
      </c>
      <c r="DX8" s="585">
        <f>((PI()*DU8*DV8/4)*(DS8^2-DT8^2))*DW8</f>
        <v>7.7825639063551959</v>
      </c>
      <c r="DY8" s="257">
        <f>(((DX8/386.4)*(DS8^2+DT8^2))/8)</f>
        <v>1.9039738464612828E-2</v>
      </c>
      <c r="DZ8" s="258" t="e">
        <f ca="1">Ratio</f>
        <v>#N/A</v>
      </c>
      <c r="EA8" s="257" t="e">
        <f ca="1">(DY8/(DZ8^2))</f>
        <v>#N/A</v>
      </c>
      <c r="EC8" s="250" t="s">
        <v>580</v>
      </c>
      <c r="ED8" s="341">
        <v>3.54</v>
      </c>
      <c r="EE8" s="341">
        <v>0</v>
      </c>
      <c r="EF8" s="342">
        <v>5</v>
      </c>
      <c r="EG8" s="251">
        <v>0.28299999999999997</v>
      </c>
      <c r="EH8" s="257">
        <v>1</v>
      </c>
      <c r="EI8" s="585">
        <f>((PI()*EF8*EG8/4)*(ED8^2-EE8^2))*EH8</f>
        <v>13.92684830857052</v>
      </c>
      <c r="EJ8" s="257">
        <f>(((EI8/386.4)*(ED8^2+EE8^2))/8)</f>
        <v>5.6458880778882746E-2</v>
      </c>
      <c r="EK8" s="258" t="e">
        <f ca="1">Ratio</f>
        <v>#N/A</v>
      </c>
      <c r="EL8" s="257" t="e">
        <f ca="1">(EJ8/(EK8^2))</f>
        <v>#N/A</v>
      </c>
    </row>
    <row r="9" spans="1:142" ht="15.75" x14ac:dyDescent="0.25">
      <c r="A9" s="250"/>
      <c r="B9" s="251"/>
      <c r="C9" s="251"/>
      <c r="D9" s="251"/>
      <c r="E9" s="251"/>
      <c r="F9" s="245"/>
      <c r="G9" s="429"/>
      <c r="H9" s="254"/>
      <c r="I9" s="255"/>
      <c r="J9" s="256"/>
      <c r="L9" s="250"/>
      <c r="M9" s="251"/>
      <c r="N9" s="251"/>
      <c r="O9" s="251"/>
      <c r="P9" s="251"/>
      <c r="Q9" s="245"/>
      <c r="R9" s="429"/>
      <c r="S9" s="254"/>
      <c r="T9" s="255"/>
      <c r="U9" s="256"/>
      <c r="W9" s="250" t="s">
        <v>580</v>
      </c>
      <c r="X9" s="251">
        <v>1.575</v>
      </c>
      <c r="Y9" s="251">
        <v>0</v>
      </c>
      <c r="Z9" s="251">
        <v>6.14</v>
      </c>
      <c r="AA9" s="251">
        <v>0.28299999999999997</v>
      </c>
      <c r="AB9" s="257">
        <v>1</v>
      </c>
      <c r="AC9" s="585">
        <f>((PI()*Z9*AA9/4)*(X9^2-Y9^2))*AB9</f>
        <v>3.3853673727959577</v>
      </c>
      <c r="AD9" s="257">
        <f>(((AC9/386.4)*(X9^2+Y9^2))/8)</f>
        <v>2.7166883214097995E-3</v>
      </c>
      <c r="AE9" s="257" t="e">
        <f ca="1">Ratio</f>
        <v>#N/A</v>
      </c>
      <c r="AF9" s="257" t="e">
        <f ca="1">(AD9/(AE9^2))</f>
        <v>#N/A</v>
      </c>
      <c r="AH9" s="250" t="s">
        <v>580</v>
      </c>
      <c r="AI9" s="251">
        <v>1.575</v>
      </c>
      <c r="AJ9" s="251">
        <v>0</v>
      </c>
      <c r="AK9" s="251">
        <v>6.14</v>
      </c>
      <c r="AL9" s="251">
        <v>0.28299999999999997</v>
      </c>
      <c r="AM9" s="257">
        <v>1</v>
      </c>
      <c r="AN9" s="585">
        <f>((PI()*AK9*AL9/4)*(AI9^2-AJ9^2))*AM9</f>
        <v>3.3853673727959577</v>
      </c>
      <c r="AO9" s="257">
        <f>(((AN9/386.4)*(AI9^2+AJ9^2))/8)</f>
        <v>2.7166883214097995E-3</v>
      </c>
      <c r="AP9" s="257" t="e">
        <f ca="1">Ratio</f>
        <v>#N/A</v>
      </c>
      <c r="AQ9" s="257" t="e">
        <f ca="1">(AO9/(AP9^2))</f>
        <v>#N/A</v>
      </c>
      <c r="AS9" s="250" t="s">
        <v>580</v>
      </c>
      <c r="AT9" s="251">
        <v>1.5745</v>
      </c>
      <c r="AU9" s="251">
        <v>0</v>
      </c>
      <c r="AV9" s="251">
        <v>6.14</v>
      </c>
      <c r="AW9" s="251">
        <v>0.28299999999999997</v>
      </c>
      <c r="AX9" s="257">
        <v>1</v>
      </c>
      <c r="AY9" s="585">
        <f>((PI()*AV9*AW9/4)*(AT9^2-AU9^2))*AX9</f>
        <v>3.3832182743750723</v>
      </c>
      <c r="AZ9" s="257">
        <f>(((AY9/386.4)*(AT9^2+AU9^2))/8)</f>
        <v>2.7132402008585963E-3</v>
      </c>
      <c r="BA9" s="257" t="e">
        <f ca="1">Ratio</f>
        <v>#N/A</v>
      </c>
      <c r="BB9" s="257" t="e">
        <f ca="1">(AZ9/(BA9^2))</f>
        <v>#N/A</v>
      </c>
      <c r="BD9" s="250" t="s">
        <v>580</v>
      </c>
      <c r="BE9" s="251">
        <v>2.165</v>
      </c>
      <c r="BF9" s="251">
        <v>0</v>
      </c>
      <c r="BG9" s="251">
        <v>7.01</v>
      </c>
      <c r="BH9" s="251">
        <v>0.28299999999999997</v>
      </c>
      <c r="BI9" s="257">
        <v>1</v>
      </c>
      <c r="BJ9" s="585">
        <f>((PI()*BG9*BH9/4)*(BE9^2-BF9^2))*BI9</f>
        <v>7.3031485789142243</v>
      </c>
      <c r="BK9" s="257">
        <f>(((BJ9/386.4)*(BE9^2+BF9^2))/8)</f>
        <v>1.1073855007052675E-2</v>
      </c>
      <c r="BL9" s="257" t="e">
        <f ca="1">Ratio</f>
        <v>#N/A</v>
      </c>
      <c r="BM9" s="257" t="e">
        <f ca="1">(BK9/(BL9^2))</f>
        <v>#N/A</v>
      </c>
      <c r="BO9" s="250" t="s">
        <v>580</v>
      </c>
      <c r="BP9" s="251">
        <v>2.165</v>
      </c>
      <c r="BQ9" s="251">
        <v>0</v>
      </c>
      <c r="BR9" s="251">
        <v>7.01</v>
      </c>
      <c r="BS9" s="251">
        <v>0.28299999999999997</v>
      </c>
      <c r="BT9" s="257">
        <v>1</v>
      </c>
      <c r="BU9" s="585">
        <f>((PI()*BR9*BS9/4)*(BP9^2-BQ9^2))*BT9</f>
        <v>7.3031485789142243</v>
      </c>
      <c r="BV9" s="257">
        <f>(((BU9/386.4)*(BP9^2+BQ9^2))/8)</f>
        <v>1.1073855007052675E-2</v>
      </c>
      <c r="BW9" s="257" t="e">
        <f ca="1">Ratio</f>
        <v>#N/A</v>
      </c>
      <c r="BX9" s="257" t="e">
        <f ca="1">(BV9/(BW9^2))</f>
        <v>#N/A</v>
      </c>
      <c r="BZ9" s="250" t="s">
        <v>580</v>
      </c>
      <c r="CA9" s="251">
        <v>2.165</v>
      </c>
      <c r="CB9" s="251">
        <v>0</v>
      </c>
      <c r="CC9" s="251">
        <v>7.01</v>
      </c>
      <c r="CD9" s="251">
        <v>0.28299999999999997</v>
      </c>
      <c r="CE9" s="257">
        <v>1</v>
      </c>
      <c r="CF9" s="585">
        <f>((PI()*CC9*CD9/4)*(CA9^2-CB9^2))*CE9</f>
        <v>7.3031485789142243</v>
      </c>
      <c r="CG9" s="257">
        <f>(((CF9/386.4)*(CA9^2+CB9^2))/8)</f>
        <v>1.1073855007052675E-2</v>
      </c>
      <c r="CH9" s="257" t="e">
        <f ca="1">Ratio</f>
        <v>#N/A</v>
      </c>
      <c r="CI9" s="257" t="e">
        <f ca="1">(CG9/(CH9^2))</f>
        <v>#N/A</v>
      </c>
      <c r="CK9" s="250" t="s">
        <v>580</v>
      </c>
      <c r="CL9" s="251">
        <v>2.165</v>
      </c>
      <c r="CM9" s="251">
        <v>0</v>
      </c>
      <c r="CN9" s="251">
        <v>8.18</v>
      </c>
      <c r="CO9" s="251">
        <v>0.28299999999999997</v>
      </c>
      <c r="CP9" s="257">
        <v>1</v>
      </c>
      <c r="CQ9" s="585">
        <f>((PI()*CN9*CO9/4)*(CL9^2-CM9^2))*CP9</f>
        <v>8.522076373112462</v>
      </c>
      <c r="CR9" s="257">
        <f>(((CQ9/386.4)*(CL9^2+CM9^2))/8)</f>
        <v>1.2922130379128512E-2</v>
      </c>
      <c r="CS9" s="257" t="e">
        <f ca="1">Ratio</f>
        <v>#N/A</v>
      </c>
      <c r="CT9" s="257" t="e">
        <f ca="1">(CR9/(CS9^2))</f>
        <v>#N/A</v>
      </c>
      <c r="CV9" s="250"/>
      <c r="CW9" s="255">
        <v>2</v>
      </c>
      <c r="CX9" s="339">
        <v>0</v>
      </c>
      <c r="CY9" s="339">
        <v>3.52</v>
      </c>
      <c r="CZ9" s="251">
        <v>0.28299999999999997</v>
      </c>
      <c r="DA9" s="257">
        <v>1</v>
      </c>
      <c r="DB9" s="585">
        <f>((PI()*CY9*CZ9/4)*(CW9^2-CX9^2))*DA9</f>
        <v>3.129528937800008</v>
      </c>
      <c r="DC9" s="257">
        <f>(((DB9/386.4)*(CW9^2+CX9^2))/8)</f>
        <v>4.0495974868012524E-3</v>
      </c>
      <c r="DD9" s="257" t="e">
        <f ca="1">Ratio</f>
        <v>#N/A</v>
      </c>
      <c r="DE9" s="257" t="e">
        <f ca="1">(DC9/(DD9^2))</f>
        <v>#N/A</v>
      </c>
      <c r="DG9" s="250"/>
      <c r="DH9" s="339">
        <v>2</v>
      </c>
      <c r="DI9" s="339">
        <v>0</v>
      </c>
      <c r="DJ9" s="339">
        <v>3.52</v>
      </c>
      <c r="DK9" s="254">
        <v>0.28299999999999997</v>
      </c>
      <c r="DL9" s="257">
        <v>1</v>
      </c>
      <c r="DM9" s="585">
        <f>((PI()*DJ9*DK9/4)*(DH9^2-DI9^2))*DL9</f>
        <v>3.129528937800008</v>
      </c>
      <c r="DN9" s="257">
        <f>(((DM9/386.4)*(DH9^2+DI9^2))/8)</f>
        <v>4.0495974868012524E-3</v>
      </c>
      <c r="DO9" s="257" t="e">
        <f ca="1">Ratio</f>
        <v>#N/A</v>
      </c>
      <c r="DP9" s="257" t="e">
        <f ca="1">(DN9/(DO9^2))</f>
        <v>#N/A</v>
      </c>
      <c r="DR9" s="250"/>
      <c r="DS9" s="341">
        <v>2</v>
      </c>
      <c r="DT9" s="341">
        <v>0</v>
      </c>
      <c r="DU9" s="258">
        <v>3.52</v>
      </c>
      <c r="DV9" s="251">
        <v>0.28299999999999997</v>
      </c>
      <c r="DW9" s="257">
        <v>1</v>
      </c>
      <c r="DX9" s="585">
        <f>((PI()*DU9*DV9/4)*(DS9^2-DT9^2))*DW9</f>
        <v>3.129528937800008</v>
      </c>
      <c r="DY9" s="257">
        <f>(((DX9/386.4)*(DS9^2+DT9^2))/8)</f>
        <v>4.0495974868012524E-3</v>
      </c>
      <c r="DZ9" s="258" t="e">
        <f ca="1">Ratio</f>
        <v>#N/A</v>
      </c>
      <c r="EA9" s="257" t="e">
        <f ca="1">(DY9/(DZ9^2))</f>
        <v>#N/A</v>
      </c>
      <c r="EC9" s="250"/>
      <c r="ED9" s="341">
        <v>2</v>
      </c>
      <c r="EE9" s="341">
        <v>0</v>
      </c>
      <c r="EF9" s="258">
        <v>3.52</v>
      </c>
      <c r="EG9" s="251">
        <v>0.28299999999999997</v>
      </c>
      <c r="EH9" s="257">
        <v>1</v>
      </c>
      <c r="EI9" s="585">
        <f>((PI()*EF9*EG9/4)*(ED9^2-EE9^2))*EH9</f>
        <v>3.129528937800008</v>
      </c>
      <c r="EJ9" s="257">
        <f>(((EI9/386.4)*(ED9^2+EE9^2))/8)</f>
        <v>4.0495974868012524E-3</v>
      </c>
      <c r="EK9" s="258" t="e">
        <f ca="1">Ratio</f>
        <v>#N/A</v>
      </c>
      <c r="EL9" s="257" t="e">
        <f ca="1">(EJ9/(EK9^2))</f>
        <v>#N/A</v>
      </c>
    </row>
    <row r="10" spans="1:142" ht="15.75" x14ac:dyDescent="0.25">
      <c r="A10" s="250" t="s">
        <v>582</v>
      </c>
      <c r="B10" s="251">
        <v>2.625</v>
      </c>
      <c r="C10" s="251">
        <v>0</v>
      </c>
      <c r="D10" s="257">
        <f ca="1">VALUE(Width)+2.5</f>
        <v>2.5</v>
      </c>
      <c r="E10" s="251">
        <v>0.28299999999999997</v>
      </c>
      <c r="F10" s="257">
        <v>1</v>
      </c>
      <c r="G10" s="585">
        <f ca="1">((PI()*D10*E10/4)*(B10^2-C10^2))*F10</f>
        <v>3.8289080854098332</v>
      </c>
      <c r="H10" s="257">
        <f ca="1">(((G10/386.4)*(B10^2+C10^2))/8)</f>
        <v>8.5350575103607454E-3</v>
      </c>
      <c r="I10" s="257" t="e">
        <f ca="1">Ratio</f>
        <v>#N/A</v>
      </c>
      <c r="J10" s="257" t="e">
        <f ca="1">(H10/(I10^2))</f>
        <v>#N/A</v>
      </c>
      <c r="L10" s="250" t="s">
        <v>582</v>
      </c>
      <c r="M10" s="251">
        <v>2.25</v>
      </c>
      <c r="N10" s="251">
        <v>0</v>
      </c>
      <c r="O10" s="257">
        <f ca="1">VALUE(Width)+2.5</f>
        <v>2.5</v>
      </c>
      <c r="P10" s="251">
        <v>0.28299999999999997</v>
      </c>
      <c r="Q10" s="257">
        <v>1</v>
      </c>
      <c r="R10" s="585">
        <f ca="1">((PI()*P10*O10/4)*(M10^2-N10^2))*Q10</f>
        <v>2.813075328056204</v>
      </c>
      <c r="S10" s="257">
        <f ca="1">(((R10/386.4)*(M10^2+N10^2))/8)</f>
        <v>4.6070114674833509E-3</v>
      </c>
      <c r="T10" s="257" t="e">
        <f ca="1">Ratio</f>
        <v>#N/A</v>
      </c>
      <c r="U10" s="257" t="e">
        <f ca="1">(S10/(T10^2))</f>
        <v>#N/A</v>
      </c>
      <c r="W10" s="250"/>
      <c r="X10" s="251"/>
      <c r="Y10" s="251"/>
      <c r="Z10" s="251"/>
      <c r="AA10" s="251"/>
      <c r="AB10" s="245"/>
      <c r="AC10" s="429"/>
      <c r="AD10" s="254"/>
      <c r="AE10" s="255"/>
      <c r="AF10" s="256"/>
      <c r="AH10" s="250"/>
      <c r="AI10" s="251"/>
      <c r="AJ10" s="251"/>
      <c r="AK10" s="251"/>
      <c r="AL10" s="251"/>
      <c r="AM10" s="245"/>
      <c r="AN10" s="429"/>
      <c r="AO10" s="254"/>
      <c r="AP10" s="245"/>
      <c r="AQ10" s="245"/>
      <c r="AS10" s="250"/>
      <c r="AT10" s="251"/>
      <c r="AU10" s="251"/>
      <c r="AV10" s="251"/>
      <c r="AW10" s="251"/>
      <c r="AX10" s="245"/>
      <c r="AY10" s="429"/>
      <c r="AZ10" s="254"/>
      <c r="BA10" s="251"/>
      <c r="BB10" s="256"/>
      <c r="BD10" s="250"/>
      <c r="BE10" s="251"/>
      <c r="BF10" s="251"/>
      <c r="BG10" s="251"/>
      <c r="BH10" s="251"/>
      <c r="BI10" s="245"/>
      <c r="BJ10" s="429"/>
      <c r="BK10" s="254"/>
      <c r="BL10" s="251"/>
      <c r="BM10" s="245"/>
      <c r="BO10" s="250"/>
      <c r="BP10" s="251"/>
      <c r="BQ10" s="251"/>
      <c r="BR10" s="251"/>
      <c r="BS10" s="251"/>
      <c r="BT10" s="245"/>
      <c r="BU10" s="429"/>
      <c r="BV10" s="254"/>
      <c r="BW10" s="245"/>
      <c r="BX10" s="245"/>
      <c r="BZ10" s="250"/>
      <c r="CA10" s="251"/>
      <c r="CB10" s="251"/>
      <c r="CC10" s="251"/>
      <c r="CD10" s="251"/>
      <c r="CE10" s="245"/>
      <c r="CF10" s="429"/>
      <c r="CG10" s="254"/>
      <c r="CH10" s="245"/>
      <c r="CI10" s="245"/>
      <c r="CK10" s="250"/>
      <c r="CL10" s="251"/>
      <c r="CM10" s="251"/>
      <c r="CN10" s="251"/>
      <c r="CO10" s="251"/>
      <c r="CP10" s="245"/>
      <c r="CQ10" s="429"/>
      <c r="CR10" s="254"/>
      <c r="CS10" s="245"/>
      <c r="CT10" s="245"/>
      <c r="CV10" s="250"/>
      <c r="CW10" s="245"/>
      <c r="CX10" s="339"/>
      <c r="CY10" s="339"/>
      <c r="CZ10" s="245"/>
      <c r="DA10" s="245"/>
      <c r="DB10" s="435"/>
      <c r="DC10" s="254"/>
      <c r="DD10" s="255"/>
      <c r="DE10" s="256"/>
      <c r="DG10" s="250"/>
      <c r="DH10" s="339"/>
      <c r="DI10" s="339"/>
      <c r="DJ10" s="339"/>
      <c r="DK10" s="254"/>
      <c r="DL10" s="245"/>
      <c r="DM10" s="435"/>
      <c r="DN10" s="254"/>
      <c r="DO10" s="255"/>
      <c r="DP10" s="256"/>
      <c r="DR10" s="250"/>
      <c r="DS10" s="258"/>
      <c r="DT10" s="258"/>
      <c r="DU10" s="258"/>
      <c r="DV10" s="245"/>
      <c r="DW10" s="245"/>
      <c r="DX10" s="435"/>
      <c r="DY10" s="254"/>
      <c r="DZ10" s="341"/>
      <c r="EA10" s="256"/>
      <c r="EC10" s="250"/>
      <c r="ED10" s="258"/>
      <c r="EE10" s="258"/>
      <c r="EF10" s="258"/>
      <c r="EG10" s="245"/>
      <c r="EH10" s="245"/>
      <c r="EI10" s="435"/>
      <c r="EJ10" s="254"/>
      <c r="EK10" s="341"/>
      <c r="EL10" s="256"/>
    </row>
    <row r="11" spans="1:142" ht="15.75" x14ac:dyDescent="0.25">
      <c r="A11" s="250" t="s">
        <v>580</v>
      </c>
      <c r="B11" s="251">
        <v>1</v>
      </c>
      <c r="C11" s="251">
        <v>0</v>
      </c>
      <c r="D11" s="251">
        <v>5.5</v>
      </c>
      <c r="E11" s="251">
        <v>0.28299999999999997</v>
      </c>
      <c r="F11" s="257">
        <v>1</v>
      </c>
      <c r="G11" s="585">
        <f>((PI()*D11*E11/4)*(B11^2-C11^2))*F11</f>
        <v>1.2224722413281279</v>
      </c>
      <c r="H11" s="257">
        <f>(((G11/386.4)*(B11^2+C11^2))/8)</f>
        <v>3.9546850457043481E-4</v>
      </c>
      <c r="I11" s="257" t="e">
        <f ca="1">Ratio</f>
        <v>#N/A</v>
      </c>
      <c r="J11" s="257" t="e">
        <f ca="1">(H11/(I11^2))</f>
        <v>#N/A</v>
      </c>
      <c r="L11" s="250" t="s">
        <v>580</v>
      </c>
      <c r="M11" s="251">
        <v>1</v>
      </c>
      <c r="N11" s="251">
        <v>0</v>
      </c>
      <c r="O11" s="251">
        <v>5.5</v>
      </c>
      <c r="P11" s="251">
        <v>0.28299999999999997</v>
      </c>
      <c r="Q11" s="257">
        <v>1</v>
      </c>
      <c r="R11" s="585">
        <f>((PI()*P11*O11/4)*(M11^2-N11^2))*Q11</f>
        <v>1.2224722413281282</v>
      </c>
      <c r="S11" s="257">
        <f>(((R11/386.4)*(M11^2+N11^2))/8)</f>
        <v>3.9546850457043486E-4</v>
      </c>
      <c r="T11" s="257" t="e">
        <f ca="1">Ratio</f>
        <v>#N/A</v>
      </c>
      <c r="U11" s="257" t="e">
        <f ca="1">(S11/(T11^2))</f>
        <v>#N/A</v>
      </c>
      <c r="W11" s="250" t="s">
        <v>582</v>
      </c>
      <c r="X11" s="251">
        <v>3</v>
      </c>
      <c r="Y11" s="251">
        <v>0</v>
      </c>
      <c r="Z11" s="257">
        <f ca="1">IF( RollWidth="Y",VALUE(Width) + 0.5,VALUE(Width)*0.5)</f>
        <v>0.5</v>
      </c>
      <c r="AA11" s="251">
        <v>0.28299999999999997</v>
      </c>
      <c r="AB11" s="257">
        <v>1</v>
      </c>
      <c r="AC11" s="585">
        <f ca="1">((PI()*Z11*AA11/4)*(X11^2-Y11^2))*AB11</f>
        <v>1.0002045610866503</v>
      </c>
      <c r="AD11" s="257">
        <f ca="1">(((AC11/386.4)*(X11^2+Y11^2))/8)</f>
        <v>2.9120862609277481E-3</v>
      </c>
      <c r="AE11" s="257" t="e">
        <f ca="1">Ratio</f>
        <v>#N/A</v>
      </c>
      <c r="AF11" s="257" t="e">
        <f ca="1">(AD11/(AE11^2))</f>
        <v>#N/A</v>
      </c>
      <c r="AH11" s="250" t="s">
        <v>582</v>
      </c>
      <c r="AI11" s="251">
        <v>3</v>
      </c>
      <c r="AJ11" s="251">
        <v>0</v>
      </c>
      <c r="AK11" s="257">
        <f ca="1">IF( RollWidth="Y",VALUE(Width) + 0.5,VALUE(Width)*0.5)</f>
        <v>0.5</v>
      </c>
      <c r="AL11" s="251">
        <v>0.28299999999999997</v>
      </c>
      <c r="AM11" s="257">
        <v>1</v>
      </c>
      <c r="AN11" s="585">
        <f ca="1">((PI()*AK11*AL11/4)*(AI11^2-AJ11^2))*AM11</f>
        <v>1.0002045610866503</v>
      </c>
      <c r="AO11" s="257">
        <f ca="1">(((AN11/386.4)*(AI11^2+AJ11^2))/8)</f>
        <v>2.9120862609277481E-3</v>
      </c>
      <c r="AP11" s="257" t="e">
        <f ca="1">Ratio</f>
        <v>#N/A</v>
      </c>
      <c r="AQ11" s="257" t="e">
        <f ca="1">(AO11/(AP11^2))</f>
        <v>#N/A</v>
      </c>
      <c r="AS11" s="250" t="s">
        <v>583</v>
      </c>
      <c r="AT11" s="251">
        <v>3</v>
      </c>
      <c r="AU11" s="251">
        <v>0</v>
      </c>
      <c r="AV11" s="257">
        <f ca="1">IF( RollWidth="Y",VALUE(Width) + 0.5,VALUE(Width)*0.5)</f>
        <v>0.5</v>
      </c>
      <c r="AW11" s="251">
        <v>0.28299999999999997</v>
      </c>
      <c r="AX11" s="257">
        <v>1</v>
      </c>
      <c r="AY11" s="585">
        <f ca="1">((PI()*AV11*AW11/4)*(AT11^2-AU11^2))*AX11</f>
        <v>1.0002045610866503</v>
      </c>
      <c r="AZ11" s="257">
        <f ca="1">(((AY11/386.4)*(AT11^2+AU11^2))/8)</f>
        <v>2.9120862609277481E-3</v>
      </c>
      <c r="BA11" s="257" t="e">
        <f ca="1">Ratio</f>
        <v>#N/A</v>
      </c>
      <c r="BB11" s="257" t="e">
        <f ca="1">(AZ11/(BA11^2))</f>
        <v>#N/A</v>
      </c>
      <c r="BD11" s="250" t="s">
        <v>583</v>
      </c>
      <c r="BE11" s="251">
        <v>4</v>
      </c>
      <c r="BF11" s="251">
        <v>0</v>
      </c>
      <c r="BG11" s="257">
        <f ca="1">IF( RollWidth="Y",VALUE(Width) + 0.5,VALUE(Width)*0.5)</f>
        <v>0.5</v>
      </c>
      <c r="BH11" s="251">
        <v>0.28299999999999997</v>
      </c>
      <c r="BI11" s="257">
        <v>1</v>
      </c>
      <c r="BJ11" s="585">
        <f ca="1">((PI()*BG11*BH11/4)*(BE11^2-BF11^2))*BI11</f>
        <v>1.7781414419318227</v>
      </c>
      <c r="BK11" s="257">
        <f ca="1">(((BJ11/386.4)*(BE11^2+BF11^2))/8)</f>
        <v>9.2036306518210285E-3</v>
      </c>
      <c r="BL11" s="257" t="e">
        <f ca="1">Ratio</f>
        <v>#N/A</v>
      </c>
      <c r="BM11" s="257" t="e">
        <f ca="1">(BK11/(BL11^2))</f>
        <v>#N/A</v>
      </c>
      <c r="BO11" s="250" t="s">
        <v>583</v>
      </c>
      <c r="BP11" s="251">
        <v>4</v>
      </c>
      <c r="BQ11" s="251">
        <v>0</v>
      </c>
      <c r="BR11" s="257">
        <f ca="1">IF(RollWidth="Y",VALUE(Width) + 0.5,VALUE(Width)*0.5)</f>
        <v>0.5</v>
      </c>
      <c r="BS11" s="251">
        <v>0.28299999999999997</v>
      </c>
      <c r="BT11" s="257">
        <v>1</v>
      </c>
      <c r="BU11" s="585">
        <f ca="1">((PI()*BR11*BS11/4)*(BP11^2-BQ11^2))*BT11</f>
        <v>1.7781414419318227</v>
      </c>
      <c r="BV11" s="257">
        <f ca="1">(((BU11/386.4)*(BP11^2+BQ11^2))/8)</f>
        <v>9.2036306518210285E-3</v>
      </c>
      <c r="BW11" s="257" t="e">
        <f ca="1">Ratio</f>
        <v>#N/A</v>
      </c>
      <c r="BX11" s="257" t="e">
        <f ca="1">(BV11/(BW11^2))</f>
        <v>#N/A</v>
      </c>
      <c r="BZ11" s="250" t="s">
        <v>583</v>
      </c>
      <c r="CA11" s="251">
        <v>4.5</v>
      </c>
      <c r="CB11" s="251">
        <v>4</v>
      </c>
      <c r="CC11" s="257">
        <f ca="1">IF( RollWidth="Y",VALUE(Width) + 0.5,VALUE(Width)*0.5)</f>
        <v>0.5</v>
      </c>
      <c r="CD11" s="251">
        <v>0.05</v>
      </c>
      <c r="CE11" s="257">
        <v>1</v>
      </c>
      <c r="CF11" s="585">
        <f ca="1">((PI()*CC11*CD11/4)*(CA11^2-CB11^2))*CE11</f>
        <v>8.344855486097888E-2</v>
      </c>
      <c r="CG11" s="257">
        <f ca="1">(((CF11/386.4)*(CA11^2+CB11^2))/8)</f>
        <v>9.7858764030489282E-4</v>
      </c>
      <c r="CH11" s="257" t="e">
        <f ca="1">Ratio</f>
        <v>#N/A</v>
      </c>
      <c r="CI11" s="257" t="e">
        <f ca="1">(CG11/(CH11^2))</f>
        <v>#N/A</v>
      </c>
      <c r="CK11" s="250" t="s">
        <v>583</v>
      </c>
      <c r="CL11" s="251">
        <v>5</v>
      </c>
      <c r="CM11" s="251">
        <v>0</v>
      </c>
      <c r="CN11" s="257">
        <f ca="1">IF( RollWidth="Y",VALUE(Width) + 1,VALUE(Width)*0.5)</f>
        <v>1</v>
      </c>
      <c r="CO11" s="251">
        <v>0.28299999999999997</v>
      </c>
      <c r="CP11" s="257">
        <v>1</v>
      </c>
      <c r="CQ11" s="585">
        <f ca="1">((PI()*CN11*CO11/4)*(CL11^2-CM11^2))*CP11</f>
        <v>5.556692006036946</v>
      </c>
      <c r="CR11" s="257">
        <f ca="1">(((CQ11/386.4)*(CL11^2+CM11^2))/8)</f>
        <v>4.4939602792094864E-2</v>
      </c>
      <c r="CS11" s="257" t="e">
        <f ca="1">Ratio</f>
        <v>#N/A</v>
      </c>
      <c r="CT11" s="257" t="e">
        <f ca="1">(CR11/(CS11^2))</f>
        <v>#N/A</v>
      </c>
      <c r="CV11" s="250" t="s">
        <v>582</v>
      </c>
      <c r="CW11" s="255">
        <v>6</v>
      </c>
      <c r="CX11" s="339">
        <v>0</v>
      </c>
      <c r="CY11" s="257">
        <f ca="1">IF(RollWidth="Y",VALUE(Width)+1,VALUE(Width)*0.5)</f>
        <v>1</v>
      </c>
      <c r="CZ11" s="251">
        <v>0.28299999999999997</v>
      </c>
      <c r="DA11" s="257">
        <v>1</v>
      </c>
      <c r="DB11" s="585">
        <f ca="1">((PI()*CY11*CZ11/4)*(CW11^2-CX11^2))*DA11</f>
        <v>8.0016364886932028</v>
      </c>
      <c r="DC11" s="257">
        <f ca="1">(((DB11/386.4)*(CW11^2+CX11^2))/8)</f>
        <v>9.3186760349687939E-2</v>
      </c>
      <c r="DD11" s="257" t="e">
        <f ca="1">Ratio</f>
        <v>#N/A</v>
      </c>
      <c r="DE11" s="257" t="e">
        <f ca="1">(DC11/(DD11^2))</f>
        <v>#N/A</v>
      </c>
      <c r="DG11" s="250" t="s">
        <v>582</v>
      </c>
      <c r="DH11" s="339">
        <v>6</v>
      </c>
      <c r="DI11" s="339">
        <v>0</v>
      </c>
      <c r="DJ11" s="257">
        <f ca="1">IF(RollWidth="Y",VALUE(Width)+1,VALUE(Width)*0.5)</f>
        <v>1</v>
      </c>
      <c r="DK11" s="254">
        <v>0.28299999999999997</v>
      </c>
      <c r="DL11" s="257">
        <v>1</v>
      </c>
      <c r="DM11" s="585">
        <f ca="1">((PI()*DJ11*DK11/4)*(DH11^2-DI11^2))*DL11</f>
        <v>8.0016364886932028</v>
      </c>
      <c r="DN11" s="257">
        <f ca="1">(((DM11/386.4)*(DH11^2+DI11^2))/8)</f>
        <v>9.3186760349687939E-2</v>
      </c>
      <c r="DO11" s="257" t="e">
        <f ca="1">Ratio</f>
        <v>#N/A</v>
      </c>
      <c r="DP11" s="257" t="e">
        <f ca="1">(DN11/(DO11^2))</f>
        <v>#N/A</v>
      </c>
      <c r="DR11" s="250" t="s">
        <v>582</v>
      </c>
      <c r="DS11" s="341">
        <v>7</v>
      </c>
      <c r="DT11" s="341">
        <v>0</v>
      </c>
      <c r="DU11" s="258">
        <f ca="1">IF(RollWidth="Y",VALUE(Width)+1,VALUE(Width)*0.5)</f>
        <v>1</v>
      </c>
      <c r="DV11" s="251">
        <v>0.28299999999999997</v>
      </c>
      <c r="DW11" s="257">
        <v>1</v>
      </c>
      <c r="DX11" s="585">
        <f ca="1">((PI()*DU11*DV11/4)*(DS11^2-DT11^2))*DW11</f>
        <v>10.891116331832414</v>
      </c>
      <c r="DY11" s="257">
        <f ca="1">(((DX11/386.4)*(DS11^2+DT11^2))/8)</f>
        <v>0.17263997808611165</v>
      </c>
      <c r="DZ11" s="258" t="e">
        <f ca="1">Ratio</f>
        <v>#N/A</v>
      </c>
      <c r="EA11" s="257" t="e">
        <f ca="1">(DY11/(DZ11^2))</f>
        <v>#N/A</v>
      </c>
      <c r="EC11" s="250" t="s">
        <v>582</v>
      </c>
      <c r="ED11" s="341">
        <v>8</v>
      </c>
      <c r="EE11" s="341">
        <v>0</v>
      </c>
      <c r="EF11" s="258">
        <f ca="1">VALUE(Width)*0.5</f>
        <v>0</v>
      </c>
      <c r="EG11" s="251">
        <v>0.28299999999999997</v>
      </c>
      <c r="EH11" s="257">
        <v>1</v>
      </c>
      <c r="EI11" s="585">
        <f t="shared" ref="EI11:EI16" ca="1" si="0">((PI()*EF11*EG11/4)*(ED11^2-EE11^2))*EH11</f>
        <v>0</v>
      </c>
      <c r="EJ11" s="257">
        <f t="shared" ref="EJ11:EJ16" ca="1" si="1">(((EI11/386.4)*(ED11^2+EE11^2))/8)</f>
        <v>0</v>
      </c>
      <c r="EK11" s="258" t="e">
        <f t="shared" ref="EK11:EK16" ca="1" si="2">Ratio</f>
        <v>#N/A</v>
      </c>
      <c r="EL11" s="257" t="e">
        <f t="shared" ref="EL11:EL16" ca="1" si="3">(EJ11/(EK11^2))</f>
        <v>#N/A</v>
      </c>
    </row>
    <row r="12" spans="1:142" ht="15.75" x14ac:dyDescent="0.25">
      <c r="A12" s="250"/>
      <c r="B12" s="251"/>
      <c r="C12" s="251"/>
      <c r="D12" s="251"/>
      <c r="E12" s="251"/>
      <c r="F12" s="245"/>
      <c r="G12" s="429"/>
      <c r="H12" s="254"/>
      <c r="I12" s="245"/>
      <c r="J12" s="256"/>
      <c r="L12" s="250"/>
      <c r="M12" s="251"/>
      <c r="N12" s="251"/>
      <c r="O12" s="251"/>
      <c r="P12" s="251"/>
      <c r="Q12" s="245"/>
      <c r="R12" s="429"/>
      <c r="S12" s="254"/>
      <c r="T12" s="245"/>
      <c r="U12" s="256"/>
      <c r="W12" s="250" t="s">
        <v>1030</v>
      </c>
      <c r="X12" s="251">
        <v>2.25</v>
      </c>
      <c r="Y12" s="251">
        <v>0</v>
      </c>
      <c r="Z12" s="257">
        <f ca="1">IF(RollWidth="Y",6.14,VALUE(Width)*0.5)</f>
        <v>6.14</v>
      </c>
      <c r="AA12" s="251">
        <v>0.28299999999999997</v>
      </c>
      <c r="AB12" s="257">
        <v>1</v>
      </c>
      <c r="AC12" s="585">
        <f ca="1">((PI()*Z12*AA12/4)*(X12^2-Y12^2))*AB12</f>
        <v>6.9089130057060366</v>
      </c>
      <c r="AD12" s="257">
        <f ca="1">(((AC12/386.4)*(X12^2+Y12^2))/8)</f>
        <v>1.131482016413911E-2</v>
      </c>
      <c r="AE12" s="257" t="e">
        <f ca="1">Ratio</f>
        <v>#N/A</v>
      </c>
      <c r="AF12" s="257" t="e">
        <f ca="1">(AD12/(AE12^2))</f>
        <v>#N/A</v>
      </c>
      <c r="AH12" s="250" t="s">
        <v>1030</v>
      </c>
      <c r="AI12" s="251">
        <v>2.25</v>
      </c>
      <c r="AJ12" s="251">
        <v>0</v>
      </c>
      <c r="AK12" s="257">
        <f ca="1">IF(RollWidth="Y",6.14,VALUE(Width)*0.5)</f>
        <v>6.14</v>
      </c>
      <c r="AL12" s="251">
        <v>0.28299999999999997</v>
      </c>
      <c r="AM12" s="257">
        <v>1</v>
      </c>
      <c r="AN12" s="585">
        <f ca="1">((PI()*AK12*AL12/4)*(AI12^2-AJ12^2))*AM12</f>
        <v>6.9089130057060366</v>
      </c>
      <c r="AO12" s="257">
        <f ca="1">(((AN12/386.4)*(AI12^2+AJ12^2))/8)</f>
        <v>1.131482016413911E-2</v>
      </c>
      <c r="AP12" s="257" t="e">
        <f ca="1">Ratio</f>
        <v>#N/A</v>
      </c>
      <c r="AQ12" s="257" t="e">
        <f ca="1">(AO12/(AP12^2))</f>
        <v>#N/A</v>
      </c>
      <c r="AS12" s="250" t="s">
        <v>1030</v>
      </c>
      <c r="AT12" s="251">
        <v>2.25</v>
      </c>
      <c r="AU12" s="251">
        <v>0</v>
      </c>
      <c r="AV12" s="257">
        <f ca="1">IF(RollWidth="Y",6.14,VALUE(Width)*0.5)</f>
        <v>6.14</v>
      </c>
      <c r="AW12" s="251">
        <v>0.28299999999999997</v>
      </c>
      <c r="AX12" s="257">
        <v>1</v>
      </c>
      <c r="AY12" s="585">
        <f ca="1">((PI()*AV12*AW12/4)*(AT12^2-AU12^2))*AX12</f>
        <v>6.9089130057060366</v>
      </c>
      <c r="AZ12" s="257">
        <f ca="1">(((AY12/386.4)*(AT12^2+AU12^2))/8)</f>
        <v>1.131482016413911E-2</v>
      </c>
      <c r="BA12" s="257" t="e">
        <f ca="1">Ratio</f>
        <v>#N/A</v>
      </c>
      <c r="BB12" s="257" t="e">
        <f ca="1">(AZ12/(BA12^2))</f>
        <v>#N/A</v>
      </c>
      <c r="BD12" s="250" t="s">
        <v>1030</v>
      </c>
      <c r="BE12" s="251">
        <v>3.25</v>
      </c>
      <c r="BF12" s="251">
        <v>0</v>
      </c>
      <c r="BG12" s="251">
        <v>4.24</v>
      </c>
      <c r="BH12" s="251">
        <v>0.28299999999999997</v>
      </c>
      <c r="BI12" s="257">
        <v>1</v>
      </c>
      <c r="BJ12" s="585">
        <f>((PI()*BG12*BH12/4)*(BE12^2-BF12^2))*BI12</f>
        <v>9.9542580596145864</v>
      </c>
      <c r="BK12" s="257">
        <f>(((BJ12/386.4)*(BE12^2+BF12^2))/8)</f>
        <v>3.4013279876643078E-2</v>
      </c>
      <c r="BL12" s="257" t="e">
        <f ca="1">Ratio</f>
        <v>#N/A</v>
      </c>
      <c r="BM12" s="257" t="e">
        <f ca="1">(BK12/(BL12^2))</f>
        <v>#N/A</v>
      </c>
      <c r="BO12" s="250" t="s">
        <v>581</v>
      </c>
      <c r="BP12" s="251">
        <v>3.25</v>
      </c>
      <c r="BQ12" s="251">
        <v>0</v>
      </c>
      <c r="BR12" s="257">
        <f ca="1">IF(RollWidth="Y",4.24,VALUE(Width)*0.5+4.74)</f>
        <v>4.24</v>
      </c>
      <c r="BS12" s="251">
        <v>0.28299999999999997</v>
      </c>
      <c r="BT12" s="257">
        <v>1</v>
      </c>
      <c r="BU12" s="585">
        <f ca="1">((PI()*BR12*BS12/4)*(BP12^2-BQ12^2))*BT12</f>
        <v>9.9542580596145864</v>
      </c>
      <c r="BV12" s="257">
        <f ca="1">(((BU12/386.4)*(BP12^2+BQ12^2))/8)</f>
        <v>3.4013279876643078E-2</v>
      </c>
      <c r="BW12" s="257" t="e">
        <f ca="1">Ratio</f>
        <v>#N/A</v>
      </c>
      <c r="BX12" s="257" t="e">
        <f ca="1">(BV12/(BW12^2))</f>
        <v>#N/A</v>
      </c>
      <c r="BZ12" s="250" t="s">
        <v>1031</v>
      </c>
      <c r="CA12" s="251">
        <v>4</v>
      </c>
      <c r="CB12" s="251">
        <v>3.375</v>
      </c>
      <c r="CC12" s="257">
        <f ca="1">IF( RollWidth="Y",VALUE(Width) + 0.5,VALUE(Width)*0.5)</f>
        <v>0.5</v>
      </c>
      <c r="CD12" s="251">
        <v>0.28299999999999997</v>
      </c>
      <c r="CE12" s="257">
        <v>1</v>
      </c>
      <c r="CF12" s="585">
        <f ca="1">((PI()*CC12*CD12/4)*(CA12^2-CB12^2))*CE12</f>
        <v>0.51225754430653092</v>
      </c>
      <c r="CG12" s="257">
        <f ca="1">(((CF12/386.4)*(CA12^2+CB12^2))/8)</f>
        <v>4.5390315409941364E-3</v>
      </c>
      <c r="CH12" s="257" t="e">
        <f ca="1">Ratio</f>
        <v>#N/A</v>
      </c>
      <c r="CI12" s="257" t="e">
        <f ca="1">(CG12/(CH12^2))</f>
        <v>#N/A</v>
      </c>
      <c r="CK12" s="250" t="s">
        <v>1030</v>
      </c>
      <c r="CL12" s="251">
        <v>4</v>
      </c>
      <c r="CM12" s="251">
        <v>0</v>
      </c>
      <c r="CN12" s="257">
        <f ca="1">IF(RollWidth="Y",3.906,VALUE(Width)*0.5+5.657)</f>
        <v>3.9060000000000001</v>
      </c>
      <c r="CO12" s="251">
        <v>0.28299999999999997</v>
      </c>
      <c r="CP12" s="257">
        <v>1</v>
      </c>
      <c r="CQ12" s="585">
        <f ca="1">((PI()*CN12*CO12/4)*(CL12^2-CM12^2))*CP12</f>
        <v>13.8908409443714</v>
      </c>
      <c r="CR12" s="257">
        <f ca="1">(((CQ12/386.4)*(CL12^2+CM12^2))/8)</f>
        <v>7.1898762652025883E-2</v>
      </c>
      <c r="CS12" s="257" t="e">
        <f ca="1">Ratio</f>
        <v>#N/A</v>
      </c>
      <c r="CT12" s="257" t="e">
        <f ca="1">(CR12/(CS12^2))</f>
        <v>#N/A</v>
      </c>
      <c r="CV12" s="250"/>
      <c r="CW12" s="255">
        <v>4.5</v>
      </c>
      <c r="CX12" s="339">
        <v>0</v>
      </c>
      <c r="CY12" s="257">
        <f ca="1">IF(RollWidth="Y",4.92,(VALUE(Width)+5.92)-(VALUE(Width)*0.5))</f>
        <v>4.92</v>
      </c>
      <c r="CZ12" s="251">
        <v>0.28299999999999997</v>
      </c>
      <c r="DA12" s="257">
        <v>1</v>
      </c>
      <c r="DB12" s="585">
        <f ca="1">((PI()*CY12*CZ12/4)*(CW12^2-CX12^2))*DA12</f>
        <v>22.144528982458439</v>
      </c>
      <c r="DC12" s="257">
        <f ca="1">(((DB12/386.4)*(CW12^2+CX12^2))/8)</f>
        <v>0.14506557708811574</v>
      </c>
      <c r="DD12" s="257" t="e">
        <f ca="1">Ratio</f>
        <v>#N/A</v>
      </c>
      <c r="DE12" s="257" t="e">
        <f ca="1">(DC12/(DD12^2))</f>
        <v>#N/A</v>
      </c>
      <c r="DG12" s="250"/>
      <c r="DH12" s="339">
        <v>4.5</v>
      </c>
      <c r="DI12" s="339">
        <v>0</v>
      </c>
      <c r="DJ12" s="257">
        <f ca="1">IF(RollWidth="Y",4.92,(VALUE(Width)+5.92)-(VALUE(Width)*0.5))</f>
        <v>4.92</v>
      </c>
      <c r="DK12" s="254">
        <v>0.28299999999999997</v>
      </c>
      <c r="DL12" s="257">
        <v>1</v>
      </c>
      <c r="DM12" s="585">
        <f ca="1">((PI()*DJ12*DK12/4)*(DH12^2-DI12^2))*DL12</f>
        <v>22.144528982458439</v>
      </c>
      <c r="DN12" s="257">
        <f ca="1">(((DM12/386.4)*(DH12^2+DI12^2))/8)</f>
        <v>0.14506557708811574</v>
      </c>
      <c r="DO12" s="257" t="e">
        <f ca="1">Ratio</f>
        <v>#N/A</v>
      </c>
      <c r="DP12" s="257" t="e">
        <f ca="1">(DN12/(DO12^2))</f>
        <v>#N/A</v>
      </c>
      <c r="DR12" s="250"/>
      <c r="DS12" s="341">
        <v>6</v>
      </c>
      <c r="DT12" s="341">
        <v>0</v>
      </c>
      <c r="DU12" s="258">
        <f ca="1">IF(RollWidth="Y",4.92,(VALUE(Width)+5.92)-(VALUE(Width)*0.5))</f>
        <v>4.92</v>
      </c>
      <c r="DV12" s="251">
        <v>0.28299999999999997</v>
      </c>
      <c r="DW12" s="257">
        <v>1</v>
      </c>
      <c r="DX12" s="585">
        <f ca="1">((PI()*DU12*DV12/4)*(DS12^2-DT12^2))*DW12</f>
        <v>39.368051524370557</v>
      </c>
      <c r="DY12" s="257">
        <f ca="1">(((DX12/386.4)*(DS12^2+DT12^2))/8)</f>
        <v>0.45847886092046464</v>
      </c>
      <c r="DZ12" s="258" t="e">
        <f ca="1">Ratio</f>
        <v>#N/A</v>
      </c>
      <c r="EA12" s="257" t="e">
        <f ca="1">(DY12/(DZ12^2))</f>
        <v>#N/A</v>
      </c>
      <c r="EC12" s="250"/>
      <c r="ED12" s="341">
        <v>7</v>
      </c>
      <c r="EE12" s="341">
        <v>0</v>
      </c>
      <c r="EF12" s="258">
        <f ca="1">(VALUE(Width)+6.438)-(VALUE(Width)*0.5)-2</f>
        <v>4.4379999999999997</v>
      </c>
      <c r="EG12" s="251">
        <v>0.28299999999999997</v>
      </c>
      <c r="EH12" s="257">
        <v>1</v>
      </c>
      <c r="EI12" s="585">
        <f t="shared" ca="1" si="0"/>
        <v>48.334774280672249</v>
      </c>
      <c r="EJ12" s="257">
        <f t="shared" ca="1" si="1"/>
        <v>0.76617622274616337</v>
      </c>
      <c r="EK12" s="258" t="e">
        <f t="shared" ca="1" si="2"/>
        <v>#N/A</v>
      </c>
      <c r="EL12" s="257" t="e">
        <f t="shared" ca="1" si="3"/>
        <v>#N/A</v>
      </c>
    </row>
    <row r="13" spans="1:142" ht="15.75" x14ac:dyDescent="0.25">
      <c r="A13" s="250" t="s">
        <v>584</v>
      </c>
      <c r="B13" s="251">
        <v>2</v>
      </c>
      <c r="C13" s="251">
        <v>1.25</v>
      </c>
      <c r="D13" s="251">
        <v>0.75</v>
      </c>
      <c r="E13" s="251">
        <v>0.28299999999999997</v>
      </c>
      <c r="F13" s="257">
        <v>2</v>
      </c>
      <c r="G13" s="585">
        <f>((PI()*D13*E13/4)*(B13^2-C13^2))*F13</f>
        <v>0.81266620588290339</v>
      </c>
      <c r="H13" s="257">
        <f>(((G13/386.4)*(B13^2+C13^2))/8)</f>
        <v>1.462362762106512E-3</v>
      </c>
      <c r="I13" s="257" t="e">
        <f ca="1">(B13/B14)*Ratio</f>
        <v>#N/A</v>
      </c>
      <c r="J13" s="257" t="e">
        <f ca="1">(H13/(I13^2))</f>
        <v>#N/A</v>
      </c>
      <c r="L13" s="250" t="s">
        <v>584</v>
      </c>
      <c r="M13" s="251">
        <v>2</v>
      </c>
      <c r="N13" s="251">
        <v>1.25</v>
      </c>
      <c r="O13" s="251">
        <v>0.75</v>
      </c>
      <c r="P13" s="251">
        <v>0.28299999999999997</v>
      </c>
      <c r="Q13" s="257">
        <v>2</v>
      </c>
      <c r="R13" s="585">
        <f>((PI()*P13*O13/4)*(M13^2-N13^2))*Q13</f>
        <v>0.81266620588290339</v>
      </c>
      <c r="S13" s="257">
        <f>(((R13/386.4)*(M13^2+N13^2))/8)</f>
        <v>1.462362762106512E-3</v>
      </c>
      <c r="T13" s="257" t="e">
        <f ca="1">(M13/M14)*Ratio</f>
        <v>#N/A</v>
      </c>
      <c r="U13" s="257" t="e">
        <f ca="1">(S13/(T13^2))</f>
        <v>#N/A</v>
      </c>
      <c r="W13" s="250" t="s">
        <v>580</v>
      </c>
      <c r="X13" s="251">
        <v>1.575</v>
      </c>
      <c r="Y13" s="251">
        <v>0</v>
      </c>
      <c r="Z13" s="251">
        <v>7.76</v>
      </c>
      <c r="AA13" s="251">
        <v>0.28299999999999997</v>
      </c>
      <c r="AB13" s="257">
        <v>1</v>
      </c>
      <c r="AC13" s="585">
        <f>((PI()*Z13*AA13/4)*(X13^2-Y13^2))*AB13</f>
        <v>4.2785750509603639</v>
      </c>
      <c r="AD13" s="257">
        <f>(((AC13/386.4)*(X13^2+Y13^2))/8)</f>
        <v>3.4334692791759035E-3</v>
      </c>
      <c r="AE13" s="257" t="e">
        <f ca="1">Ratio</f>
        <v>#N/A</v>
      </c>
      <c r="AF13" s="257" t="e">
        <f ca="1">(AD13/(AE13^2))</f>
        <v>#N/A</v>
      </c>
      <c r="AH13" s="250" t="s">
        <v>580</v>
      </c>
      <c r="AI13" s="251">
        <v>1.575</v>
      </c>
      <c r="AJ13" s="251">
        <v>0</v>
      </c>
      <c r="AK13" s="251">
        <v>7.76</v>
      </c>
      <c r="AL13" s="251">
        <v>0.28299999999999997</v>
      </c>
      <c r="AM13" s="257">
        <v>1</v>
      </c>
      <c r="AN13" s="585">
        <f>((PI()*AK13*AL13/4)*(AI13^2-AJ13^2))*AM13</f>
        <v>4.2785750509603639</v>
      </c>
      <c r="AO13" s="257">
        <f>(((AN13/386.4)*(AI13^2+AJ13^2))/8)</f>
        <v>3.4334692791759035E-3</v>
      </c>
      <c r="AP13" s="257" t="e">
        <f ca="1">Ratio</f>
        <v>#N/A</v>
      </c>
      <c r="AQ13" s="257" t="e">
        <f ca="1">(AO13/(AP13^2))</f>
        <v>#N/A</v>
      </c>
      <c r="AS13" s="250" t="s">
        <v>580</v>
      </c>
      <c r="AT13" s="251">
        <v>1.5745</v>
      </c>
      <c r="AU13" s="251">
        <v>0</v>
      </c>
      <c r="AV13" s="251">
        <v>7.76</v>
      </c>
      <c r="AW13" s="251">
        <v>0.28299999999999997</v>
      </c>
      <c r="AX13" s="257">
        <v>1</v>
      </c>
      <c r="AY13" s="585">
        <f>((PI()*AV13*AW13/4)*(AT13^2-AU13^2))*AX13</f>
        <v>4.275858926571753</v>
      </c>
      <c r="AZ13" s="257">
        <f>(((AY13/386.4)*(AT13^2+AU13^2))/8)</f>
        <v>3.429111393919008E-3</v>
      </c>
      <c r="BA13" s="257" t="e">
        <f ca="1">Ratio</f>
        <v>#N/A</v>
      </c>
      <c r="BB13" s="257" t="e">
        <f ca="1">(AZ13/(BA13^2))</f>
        <v>#N/A</v>
      </c>
      <c r="BD13" s="250" t="s">
        <v>580</v>
      </c>
      <c r="BE13" s="251">
        <v>2.7549999999999999</v>
      </c>
      <c r="BF13" s="251">
        <v>0</v>
      </c>
      <c r="BG13" s="251">
        <v>7.76</v>
      </c>
      <c r="BH13" s="251">
        <v>0.28299999999999997</v>
      </c>
      <c r="BI13" s="257">
        <v>1</v>
      </c>
      <c r="BJ13" s="585">
        <f>((PI()*BG13*BH13/4)*(BE13^2-BF13^2))*BI13</f>
        <v>13.091253857864626</v>
      </c>
      <c r="BK13" s="257">
        <f>(((BJ13/386.4)*(BE13^2+BF13^2))/8)</f>
        <v>3.2143809544040808E-2</v>
      </c>
      <c r="BL13" s="257" t="e">
        <f ca="1">Ratio</f>
        <v>#N/A</v>
      </c>
      <c r="BM13" s="257" t="e">
        <f ca="1">(BK13/(BL13^2))</f>
        <v>#N/A</v>
      </c>
      <c r="BO13" s="250" t="s">
        <v>580</v>
      </c>
      <c r="BP13" s="251">
        <v>2.7549999999999999</v>
      </c>
      <c r="BQ13" s="251">
        <v>0</v>
      </c>
      <c r="BR13" s="251">
        <v>7.76</v>
      </c>
      <c r="BS13" s="251">
        <v>0.28299999999999997</v>
      </c>
      <c r="BT13" s="257">
        <v>1</v>
      </c>
      <c r="BU13" s="585">
        <f>((PI()*BR13*BS13/4)*(BP13^2-BQ13^2))*BT13</f>
        <v>13.091253857864626</v>
      </c>
      <c r="BV13" s="257">
        <f>(((BU13/386.4)*(BP13^2+BQ13^2))/8)</f>
        <v>3.2143809544040808E-2</v>
      </c>
      <c r="BW13" s="257" t="e">
        <f ca="1">Ratio</f>
        <v>#N/A</v>
      </c>
      <c r="BX13" s="257" t="e">
        <f ca="1">(BV13/(BW13^2))</f>
        <v>#N/A</v>
      </c>
      <c r="BZ13" s="250" t="s">
        <v>580</v>
      </c>
      <c r="CA13" s="251">
        <v>2.7549999999999999</v>
      </c>
      <c r="CB13" s="251">
        <v>0</v>
      </c>
      <c r="CC13" s="251">
        <v>7.76</v>
      </c>
      <c r="CD13" s="251">
        <v>0.28299999999999997</v>
      </c>
      <c r="CE13" s="257">
        <v>1</v>
      </c>
      <c r="CF13" s="585">
        <f>((PI()*CC13*CD13/4)*(CA13^2-CB13^2))*CE13</f>
        <v>13.091253857864626</v>
      </c>
      <c r="CG13" s="257">
        <f>(((CF13/386.4)*(CA13^2+CB13^2))/8)</f>
        <v>3.2143809544040808E-2</v>
      </c>
      <c r="CH13" s="257" t="e">
        <f ca="1">Ratio</f>
        <v>#N/A</v>
      </c>
      <c r="CI13" s="257" t="e">
        <f ca="1">(CG13/(CH13^2))</f>
        <v>#N/A</v>
      </c>
      <c r="CK13" s="250" t="s">
        <v>580</v>
      </c>
      <c r="CL13" s="251">
        <v>2.4359999999999999</v>
      </c>
      <c r="CM13" s="251">
        <v>0</v>
      </c>
      <c r="CN13" s="257">
        <f ca="1">IF(RollWidth="Y",16.75,10.968)</f>
        <v>16.75</v>
      </c>
      <c r="CO13" s="251">
        <v>0.28299999999999997</v>
      </c>
      <c r="CP13" s="257">
        <v>1</v>
      </c>
      <c r="CQ13" s="585">
        <f ca="1">((PI()*CN13*CO13/4)*(CL13^2-CM13^2))*CP13</f>
        <v>22.092542350191394</v>
      </c>
      <c r="CR13" s="257">
        <f ca="1">(((CQ13/386.4)*(CL13^2+CM13^2))/8)</f>
        <v>4.2410477222470676E-2</v>
      </c>
      <c r="CS13" s="257" t="e">
        <f ca="1">Ratio</f>
        <v>#N/A</v>
      </c>
      <c r="CT13" s="257" t="e">
        <f ca="1">(CR13/(CS13^2))</f>
        <v>#N/A</v>
      </c>
      <c r="CV13" s="250" t="s">
        <v>580</v>
      </c>
      <c r="CW13" s="255">
        <v>2.75</v>
      </c>
      <c r="CX13" s="339">
        <v>0</v>
      </c>
      <c r="CY13" s="339">
        <v>5.44</v>
      </c>
      <c r="CZ13" s="251">
        <v>0.28299999999999997</v>
      </c>
      <c r="DA13" s="257">
        <v>1</v>
      </c>
      <c r="DB13" s="585">
        <f>((PI()*CY13*CZ13/4)*(CW13^2-CX13^2))*DA13</f>
        <v>9.1440923651343997</v>
      </c>
      <c r="DC13" s="257">
        <f>(((DB13/386.4)*(CW13^2+CX13^2))/8)</f>
        <v>2.2370664632288078E-2</v>
      </c>
      <c r="DD13" s="257" t="e">
        <f ca="1">Ratio</f>
        <v>#N/A</v>
      </c>
      <c r="DE13" s="257" t="e">
        <f ca="1">(DC13/(DD13^2))</f>
        <v>#N/A</v>
      </c>
      <c r="DG13" s="250" t="s">
        <v>580</v>
      </c>
      <c r="DH13" s="339">
        <v>2.75</v>
      </c>
      <c r="DI13" s="339">
        <v>0</v>
      </c>
      <c r="DJ13" s="339">
        <v>5.44</v>
      </c>
      <c r="DK13" s="254">
        <v>0.28299999999999997</v>
      </c>
      <c r="DL13" s="257">
        <v>1</v>
      </c>
      <c r="DM13" s="585">
        <f>((PI()*DJ13*DK13/4)*(DH13^2-DI13^2))*DL13</f>
        <v>9.1440923651343997</v>
      </c>
      <c r="DN13" s="257">
        <f>(((DM13/386.4)*(DH13^2+DI13^2))/8)</f>
        <v>2.2370664632288078E-2</v>
      </c>
      <c r="DO13" s="257" t="e">
        <f ca="1">Ratio</f>
        <v>#N/A</v>
      </c>
      <c r="DP13" s="257" t="e">
        <f ca="1">(DN13/(DO13^2))</f>
        <v>#N/A</v>
      </c>
      <c r="DR13" s="250" t="s">
        <v>580</v>
      </c>
      <c r="DS13" s="341">
        <v>2</v>
      </c>
      <c r="DT13" s="341">
        <v>0</v>
      </c>
      <c r="DU13" s="258">
        <v>3.52</v>
      </c>
      <c r="DV13" s="251">
        <v>0.28299999999999997</v>
      </c>
      <c r="DW13" s="257">
        <v>1</v>
      </c>
      <c r="DX13" s="585">
        <f>((PI()*DU13*DV13/4)*(DS13^2-DT13^2))*DW13</f>
        <v>3.129528937800008</v>
      </c>
      <c r="DY13" s="257">
        <f>(((DX13/386.4)*(DS13^2+DT13^2))/8)</f>
        <v>4.0495974868012524E-3</v>
      </c>
      <c r="DZ13" s="258" t="e">
        <f ca="1">Ratio</f>
        <v>#N/A</v>
      </c>
      <c r="EA13" s="257" t="e">
        <f ca="1">(DY13/(DZ13^2))</f>
        <v>#N/A</v>
      </c>
      <c r="EC13" s="250" t="s">
        <v>580</v>
      </c>
      <c r="ED13" s="341">
        <v>2</v>
      </c>
      <c r="EE13" s="341">
        <v>0</v>
      </c>
      <c r="EF13" s="258">
        <v>3.52</v>
      </c>
      <c r="EG13" s="251">
        <v>0.28299999999999997</v>
      </c>
      <c r="EH13" s="257">
        <v>1</v>
      </c>
      <c r="EI13" s="585">
        <f t="shared" si="0"/>
        <v>3.129528937800008</v>
      </c>
      <c r="EJ13" s="257">
        <f t="shared" si="1"/>
        <v>4.0495974868012524E-3</v>
      </c>
      <c r="EK13" s="258" t="e">
        <f t="shared" ca="1" si="2"/>
        <v>#N/A</v>
      </c>
      <c r="EL13" s="257" t="e">
        <f t="shared" ca="1" si="3"/>
        <v>#N/A</v>
      </c>
    </row>
    <row r="14" spans="1:142" ht="15.75" x14ac:dyDescent="0.25">
      <c r="A14" s="250" t="s">
        <v>585</v>
      </c>
      <c r="B14" s="251">
        <v>2</v>
      </c>
      <c r="C14" s="251">
        <v>1</v>
      </c>
      <c r="D14" s="251">
        <v>0.75</v>
      </c>
      <c r="E14" s="251">
        <v>0.28299999999999997</v>
      </c>
      <c r="F14" s="257">
        <v>2</v>
      </c>
      <c r="G14" s="585">
        <f>((PI()*D14*E14/4)*(B14^2-C14^2))*F14</f>
        <v>1.0002045610866503</v>
      </c>
      <c r="H14" s="257">
        <f>(((G14/386.4)*(B14^2+C14^2))/8)</f>
        <v>1.6178257005154155E-3</v>
      </c>
      <c r="I14" s="257" t="e">
        <f ca="1">Ratio</f>
        <v>#N/A</v>
      </c>
      <c r="J14" s="257" t="e">
        <f ca="1">(H14/(I14^2))</f>
        <v>#N/A</v>
      </c>
      <c r="L14" s="250" t="s">
        <v>585</v>
      </c>
      <c r="M14" s="251">
        <v>2</v>
      </c>
      <c r="N14" s="251">
        <v>1</v>
      </c>
      <c r="O14" s="251">
        <v>0.75</v>
      </c>
      <c r="P14" s="251">
        <v>0.28299999999999997</v>
      </c>
      <c r="Q14" s="257">
        <v>2</v>
      </c>
      <c r="R14" s="585">
        <f>((PI()*P14*O14/4)*(M14^2-N14^2))*Q14</f>
        <v>1.0002045610866503</v>
      </c>
      <c r="S14" s="257">
        <f>(((R14/386.4)*(M14^2+N14^2))/8)</f>
        <v>1.6178257005154155E-3</v>
      </c>
      <c r="T14" s="257" t="e">
        <f ca="1">Ratio</f>
        <v>#N/A</v>
      </c>
      <c r="U14" s="257" t="e">
        <f ca="1">(S14/(T14^2))</f>
        <v>#N/A</v>
      </c>
      <c r="W14" s="250"/>
      <c r="X14" s="251"/>
      <c r="Y14" s="251"/>
      <c r="Z14" s="251"/>
      <c r="AA14" s="251"/>
      <c r="AB14" s="245"/>
      <c r="AC14" s="429"/>
      <c r="AD14" s="254"/>
      <c r="AE14" s="245"/>
      <c r="AF14" s="256"/>
      <c r="AH14" s="250"/>
      <c r="AI14" s="251"/>
      <c r="AJ14" s="251"/>
      <c r="AK14" s="251"/>
      <c r="AL14" s="251"/>
      <c r="AM14" s="245"/>
      <c r="AN14" s="429"/>
      <c r="AO14" s="254"/>
      <c r="AP14" s="245"/>
      <c r="AQ14" s="245"/>
      <c r="AS14" s="250"/>
      <c r="AT14" s="251"/>
      <c r="AU14" s="251"/>
      <c r="AV14" s="251"/>
      <c r="AW14" s="251"/>
      <c r="AX14" s="245"/>
      <c r="AY14" s="429"/>
      <c r="AZ14" s="254"/>
      <c r="BA14" s="251"/>
      <c r="BB14" s="256"/>
      <c r="BD14" s="250"/>
      <c r="BE14" s="251"/>
      <c r="BF14" s="251"/>
      <c r="BG14" s="251"/>
      <c r="BH14" s="251"/>
      <c r="BI14" s="245"/>
      <c r="BJ14" s="429"/>
      <c r="BK14" s="254"/>
      <c r="BL14" s="251"/>
      <c r="BM14" s="245"/>
      <c r="BO14" s="250"/>
      <c r="BP14" s="251"/>
      <c r="BQ14" s="251"/>
      <c r="BR14" s="251"/>
      <c r="BS14" s="251"/>
      <c r="BT14" s="245"/>
      <c r="BU14" s="429"/>
      <c r="BV14" s="254"/>
      <c r="BW14" s="245"/>
      <c r="BX14" s="245"/>
      <c r="BZ14" s="250"/>
      <c r="CA14" s="251"/>
      <c r="CB14" s="251"/>
      <c r="CC14" s="251"/>
      <c r="CD14" s="251"/>
      <c r="CE14" s="245"/>
      <c r="CF14" s="429"/>
      <c r="CG14" s="254"/>
      <c r="CH14" s="245"/>
      <c r="CI14" s="245"/>
      <c r="CK14" s="250"/>
      <c r="CL14" s="251"/>
      <c r="CM14" s="251"/>
      <c r="CN14" s="251"/>
      <c r="CO14" s="251"/>
      <c r="CP14" s="245"/>
      <c r="CQ14" s="429"/>
      <c r="CR14" s="254"/>
      <c r="CS14" s="245"/>
      <c r="CT14" s="245"/>
      <c r="CV14" s="250"/>
      <c r="CW14" s="255">
        <v>3.4990000000000001</v>
      </c>
      <c r="CX14" s="339">
        <v>0</v>
      </c>
      <c r="CY14" s="339">
        <v>6.3920000000000003</v>
      </c>
      <c r="CZ14" s="251">
        <v>0.28299999999999997</v>
      </c>
      <c r="DA14" s="257">
        <v>1</v>
      </c>
      <c r="DB14" s="585">
        <f>((PI()*CY14*CZ14/4)*(CW14^2-CX14^2))*DA14</f>
        <v>17.39406017391849</v>
      </c>
      <c r="DC14" s="257">
        <f>(((DB14/386.4)*(CW14^2+CX14^2))/8)</f>
        <v>6.8890882538607756E-2</v>
      </c>
      <c r="DD14" s="257" t="e">
        <f ca="1">Ratio</f>
        <v>#N/A</v>
      </c>
      <c r="DE14" s="257" t="e">
        <f ca="1">(DC14/(DD14^2))</f>
        <v>#N/A</v>
      </c>
      <c r="DG14" s="250"/>
      <c r="DH14" s="339"/>
      <c r="DI14" s="339"/>
      <c r="DJ14" s="339"/>
      <c r="DK14" s="254"/>
      <c r="DL14" s="257"/>
      <c r="DM14" s="435"/>
      <c r="DN14" s="254"/>
      <c r="DO14" s="255"/>
      <c r="DP14" s="256"/>
      <c r="DR14" s="250"/>
      <c r="DS14" s="341">
        <v>2.75</v>
      </c>
      <c r="DT14" s="341">
        <v>0</v>
      </c>
      <c r="DU14" s="258">
        <v>1.63</v>
      </c>
      <c r="DV14" s="251">
        <v>0.28299999999999997</v>
      </c>
      <c r="DW14" s="257">
        <v>1</v>
      </c>
      <c r="DX14" s="585">
        <f>((PI()*DU14*DV14/4)*(DS14^2-DT14^2))*DW14</f>
        <v>2.739865910876667</v>
      </c>
      <c r="DY14" s="257">
        <f>(((DX14/386.4)*(DS14^2+DT14^2))/8)</f>
        <v>6.7029748806304336E-3</v>
      </c>
      <c r="DZ14" s="258" t="e">
        <f ca="1">Ratio</f>
        <v>#N/A</v>
      </c>
      <c r="EA14" s="257" t="e">
        <f ca="1">(DY14/(DZ14^2))</f>
        <v>#N/A</v>
      </c>
      <c r="EC14" s="250"/>
      <c r="ED14" s="341">
        <v>3.5</v>
      </c>
      <c r="EE14" s="341">
        <v>0</v>
      </c>
      <c r="EF14" s="258">
        <v>8.75</v>
      </c>
      <c r="EG14" s="251">
        <v>0.28299999999999997</v>
      </c>
      <c r="EH14" s="257">
        <v>1</v>
      </c>
      <c r="EI14" s="585">
        <f t="shared" si="0"/>
        <v>23.824316975883406</v>
      </c>
      <c r="EJ14" s="257">
        <f t="shared" si="1"/>
        <v>9.4412488015842302E-2</v>
      </c>
      <c r="EK14" s="258" t="e">
        <f t="shared" ca="1" si="2"/>
        <v>#N/A</v>
      </c>
      <c r="EL14" s="257" t="e">
        <f t="shared" ca="1" si="3"/>
        <v>#N/A</v>
      </c>
    </row>
    <row r="15" spans="1:142" ht="15.75" x14ac:dyDescent="0.25">
      <c r="A15" s="250"/>
      <c r="B15" s="251"/>
      <c r="C15" s="251"/>
      <c r="D15" s="251"/>
      <c r="E15" s="251"/>
      <c r="F15" s="245"/>
      <c r="G15" s="429"/>
      <c r="H15" s="254"/>
      <c r="I15" s="255"/>
      <c r="J15" s="256"/>
      <c r="L15" s="250"/>
      <c r="M15" s="251"/>
      <c r="N15" s="251"/>
      <c r="O15" s="251"/>
      <c r="P15" s="251"/>
      <c r="Q15" s="245"/>
      <c r="R15" s="429"/>
      <c r="S15" s="254"/>
      <c r="T15" s="255"/>
      <c r="U15" s="256"/>
      <c r="W15" s="250" t="s">
        <v>584</v>
      </c>
      <c r="X15" s="251">
        <v>3</v>
      </c>
      <c r="Y15" s="251">
        <v>1.75</v>
      </c>
      <c r="Z15" s="251">
        <v>1</v>
      </c>
      <c r="AA15" s="251">
        <v>0.28299999999999997</v>
      </c>
      <c r="AB15" s="257">
        <v>2</v>
      </c>
      <c r="AC15" s="585">
        <f>((PI()*Z15*AA15/4)*(X15^2-Y15^2))*AB15</f>
        <v>2.6394287028675492</v>
      </c>
      <c r="AD15" s="257">
        <f>(((AC15/386.4)*(X15^2+Y15^2))/8)</f>
        <v>1.0299595214913242E-2</v>
      </c>
      <c r="AE15" s="257" t="e">
        <f ca="1">(X15/X16)*Ratio</f>
        <v>#N/A</v>
      </c>
      <c r="AF15" s="257" t="e">
        <f ca="1">(AD15/(AE15^2))</f>
        <v>#N/A</v>
      </c>
      <c r="AH15" s="250" t="s">
        <v>584</v>
      </c>
      <c r="AI15" s="251">
        <v>3</v>
      </c>
      <c r="AJ15" s="251">
        <v>1.75</v>
      </c>
      <c r="AK15" s="251">
        <v>1</v>
      </c>
      <c r="AL15" s="251">
        <v>0.28299999999999997</v>
      </c>
      <c r="AM15" s="257">
        <v>2</v>
      </c>
      <c r="AN15" s="585">
        <f>((PI()*AK15*AL15/4)*(AI15^2-AJ15^2))*AM15</f>
        <v>2.6394287028675492</v>
      </c>
      <c r="AO15" s="257">
        <f>(((AN15/386.4)*(AI15^2+AJ15^2))/8)</f>
        <v>1.0299595214913242E-2</v>
      </c>
      <c r="AP15" s="257" t="e">
        <f ca="1">(AI15/AI16)*Ratio</f>
        <v>#N/A</v>
      </c>
      <c r="AQ15" s="257" t="e">
        <f ca="1">(AO15/(AP15^2))</f>
        <v>#N/A</v>
      </c>
      <c r="AS15" s="250" t="s">
        <v>584</v>
      </c>
      <c r="AT15" s="251">
        <v>3</v>
      </c>
      <c r="AU15" s="251">
        <v>1.7497</v>
      </c>
      <c r="AV15" s="251">
        <v>1</v>
      </c>
      <c r="AW15" s="251">
        <v>0.28299999999999997</v>
      </c>
      <c r="AX15" s="257">
        <v>2</v>
      </c>
      <c r="AY15" s="585">
        <f>((PI()*AV15*AW15/4)*(AT15^2-AU15^2))*AX15</f>
        <v>2.6398954249878739</v>
      </c>
      <c r="AZ15" s="257">
        <f>(((AY15/386.4)*(AT15^2+AU15^2))/8)</f>
        <v>1.0300519834145505E-2</v>
      </c>
      <c r="BA15" s="257" t="e">
        <f ca="1">(AT15/AT16)*Ratio</f>
        <v>#N/A</v>
      </c>
      <c r="BB15" s="257" t="e">
        <f ca="1">(AZ15/(BA15^2))</f>
        <v>#N/A</v>
      </c>
      <c r="BD15" s="250" t="s">
        <v>584</v>
      </c>
      <c r="BE15" s="251">
        <v>4</v>
      </c>
      <c r="BF15" s="251">
        <v>1.7497</v>
      </c>
      <c r="BG15" s="251">
        <v>1.25</v>
      </c>
      <c r="BH15" s="251">
        <v>0.28299999999999997</v>
      </c>
      <c r="BI15" s="257">
        <v>2</v>
      </c>
      <c r="BJ15" s="585">
        <f>((PI()*BG15*BH15/4)*(BE15^2-BF15^2))*BI15</f>
        <v>7.1895536854607043</v>
      </c>
      <c r="BK15" s="257">
        <f>(((BJ15/386.4)*(BE15^2+BF15^2))/8)</f>
        <v>4.4333371747148291E-2</v>
      </c>
      <c r="BL15" s="257" t="e">
        <f ca="1">(BE15/BE16)*Ratio</f>
        <v>#N/A</v>
      </c>
      <c r="BM15" s="257" t="e">
        <f ca="1">(BK15/(BL15^2))</f>
        <v>#N/A</v>
      </c>
      <c r="BO15" s="250" t="s">
        <v>584</v>
      </c>
      <c r="BP15" s="251">
        <v>4</v>
      </c>
      <c r="BQ15" s="251">
        <v>1.7497</v>
      </c>
      <c r="BR15" s="251">
        <v>1.25</v>
      </c>
      <c r="BS15" s="251">
        <v>0.28299999999999997</v>
      </c>
      <c r="BT15" s="257">
        <v>2</v>
      </c>
      <c r="BU15" s="585">
        <f>((PI()*BR15*BS15/4)*(BP15^2-BQ15^2))*BT15</f>
        <v>7.1895536854607043</v>
      </c>
      <c r="BV15" s="257">
        <f>(((BU15/386.4)*(BP15^2+BQ15^2))/8)</f>
        <v>4.4333371747148291E-2</v>
      </c>
      <c r="BW15" s="257" t="e">
        <f ca="1">(BP15/BP16)*Ratio</f>
        <v>#N/A</v>
      </c>
      <c r="BX15" s="257" t="e">
        <f ca="1">(BV15/(BW15^2))</f>
        <v>#N/A</v>
      </c>
      <c r="BZ15" s="250" t="s">
        <v>584</v>
      </c>
      <c r="CA15" s="251">
        <v>4</v>
      </c>
      <c r="CB15" s="251">
        <v>1.7497</v>
      </c>
      <c r="CC15" s="251">
        <v>1.25</v>
      </c>
      <c r="CD15" s="251">
        <v>0.28299999999999997</v>
      </c>
      <c r="CE15" s="257">
        <v>2</v>
      </c>
      <c r="CF15" s="585">
        <f>((PI()*CC15*CD15/4)*(CA15^2-CB15^2))*CE15</f>
        <v>7.1895536854607043</v>
      </c>
      <c r="CG15" s="257">
        <f>(((CF15/386.4)*(CA15^2+CB15^2))/8)</f>
        <v>4.4333371747148291E-2</v>
      </c>
      <c r="CH15" s="257" t="e">
        <f ca="1">(CA15/CA16)*Ratio</f>
        <v>#N/A</v>
      </c>
      <c r="CI15" s="257" t="e">
        <f ca="1">(CG15/(CH15^2))</f>
        <v>#N/A</v>
      </c>
      <c r="CK15" s="250" t="s">
        <v>586</v>
      </c>
      <c r="CL15" s="251">
        <v>5.33</v>
      </c>
      <c r="CM15" s="251">
        <v>2</v>
      </c>
      <c r="CN15" s="251">
        <v>2</v>
      </c>
      <c r="CO15" s="251">
        <v>0.28299999999999997</v>
      </c>
      <c r="CP15" s="257">
        <v>2</v>
      </c>
      <c r="CQ15" s="585">
        <f>((PI()*CN15*CO15/4)*(CL15^2-CM15^2))*CP15</f>
        <v>21.701238320984832</v>
      </c>
      <c r="CR15" s="257">
        <f>(((CQ15/386.4)*(CL15^2+CM15^2))/8)</f>
        <v>0.22752111239032266</v>
      </c>
      <c r="CS15" s="257" t="e">
        <f ca="1">(CL15/CL18)*Ratio</f>
        <v>#N/A</v>
      </c>
      <c r="CT15" s="257" t="e">
        <f ca="1">(CR15/(CS15^2))</f>
        <v>#N/A</v>
      </c>
      <c r="CV15" s="250"/>
      <c r="CW15" s="255"/>
      <c r="CX15" s="339"/>
      <c r="CY15" s="339"/>
      <c r="CZ15" s="251"/>
      <c r="DA15" s="245"/>
      <c r="DB15" s="435"/>
      <c r="DC15" s="254"/>
      <c r="DD15" s="255"/>
      <c r="DE15" s="256"/>
      <c r="DG15" s="250"/>
      <c r="DH15" s="339">
        <v>3.5</v>
      </c>
      <c r="DI15" s="339">
        <v>0</v>
      </c>
      <c r="DJ15" s="339">
        <v>6.37</v>
      </c>
      <c r="DK15" s="254">
        <v>0.28299999999999997</v>
      </c>
      <c r="DL15" s="257">
        <v>1</v>
      </c>
      <c r="DM15" s="585">
        <f>((PI()*DJ15*DK15/4)*(DH15^2-DI15^2))*DL15</f>
        <v>17.344102758443121</v>
      </c>
      <c r="DN15" s="257">
        <f>(((DM15/386.4)*(DH15^2+DI15^2))/8)</f>
        <v>6.8732291275533208E-2</v>
      </c>
      <c r="DO15" s="257" t="e">
        <f ca="1">Ratio</f>
        <v>#N/A</v>
      </c>
      <c r="DP15" s="257" t="e">
        <f ca="1">(DN15/(DO15^2))</f>
        <v>#N/A</v>
      </c>
      <c r="DR15" s="250"/>
      <c r="DS15" s="341">
        <v>3.5</v>
      </c>
      <c r="DT15" s="341">
        <v>0</v>
      </c>
      <c r="DU15" s="258">
        <v>6.37</v>
      </c>
      <c r="DV15" s="251">
        <v>0.28299999999999997</v>
      </c>
      <c r="DW15" s="257">
        <v>1</v>
      </c>
      <c r="DX15" s="585">
        <f>((PI()*DU15*DV15/4)*(DS15^2-DT15^2))*DW15</f>
        <v>17.344102758443121</v>
      </c>
      <c r="DY15" s="257">
        <f>(((DX15/386.4)*(DS15^2+DT15^2))/8)</f>
        <v>6.8732291275533208E-2</v>
      </c>
      <c r="DZ15" s="258" t="e">
        <f ca="1">Ratio</f>
        <v>#N/A</v>
      </c>
      <c r="EA15" s="257" t="e">
        <f ca="1">(DY15/(DZ15^2))</f>
        <v>#N/A</v>
      </c>
      <c r="EC15" s="250"/>
      <c r="ED15" s="341">
        <v>4.33</v>
      </c>
      <c r="EE15" s="341">
        <v>0</v>
      </c>
      <c r="EF15" s="258">
        <v>2.13</v>
      </c>
      <c r="EG15" s="251">
        <v>0.28299999999999997</v>
      </c>
      <c r="EH15" s="257">
        <v>1</v>
      </c>
      <c r="EI15" s="585">
        <f t="shared" si="0"/>
        <v>8.8762947064692135</v>
      </c>
      <c r="EJ15" s="257">
        <f t="shared" si="1"/>
        <v>5.3836944171234684E-2</v>
      </c>
      <c r="EK15" s="258" t="e">
        <f t="shared" ca="1" si="2"/>
        <v>#N/A</v>
      </c>
      <c r="EL15" s="257" t="e">
        <f t="shared" ca="1" si="3"/>
        <v>#N/A</v>
      </c>
    </row>
    <row r="16" spans="1:142" ht="15.75" x14ac:dyDescent="0.25">
      <c r="A16" s="250" t="s">
        <v>587</v>
      </c>
      <c r="B16" s="251">
        <v>5.6390000000000002</v>
      </c>
      <c r="C16" s="251">
        <v>4.88</v>
      </c>
      <c r="D16" s="251">
        <v>1.28</v>
      </c>
      <c r="E16" s="251">
        <v>0.28299999999999997</v>
      </c>
      <c r="F16" s="257">
        <v>1</v>
      </c>
      <c r="G16" s="585">
        <f>((PI()*D16*E16/4)*(B16^2-C16^2))*F16</f>
        <v>2.2714465278735623</v>
      </c>
      <c r="H16" s="257">
        <f>(((G16/386.4)*(B16^2+C16^2))/8)</f>
        <v>4.0864816906395943E-2</v>
      </c>
      <c r="I16" s="257" t="e">
        <f ca="1">Ratio</f>
        <v>#N/A</v>
      </c>
      <c r="J16" s="257" t="e">
        <f ca="1">(H16/(I16^2))</f>
        <v>#N/A</v>
      </c>
      <c r="L16" s="250" t="s">
        <v>587</v>
      </c>
      <c r="M16" s="251">
        <v>5.6390000000000002</v>
      </c>
      <c r="N16" s="251">
        <v>4.88</v>
      </c>
      <c r="O16" s="251">
        <v>1.28</v>
      </c>
      <c r="P16" s="251">
        <v>0.28299999999999997</v>
      </c>
      <c r="Q16" s="257">
        <v>1</v>
      </c>
      <c r="R16" s="585">
        <f>((PI()*P16*O16/4)*(M16^2-N16^2))*Q16</f>
        <v>2.2714465278735623</v>
      </c>
      <c r="S16" s="257">
        <f>(((R16/386.4)*(M16^2+N16^2))/8)</f>
        <v>4.0864816906395943E-2</v>
      </c>
      <c r="T16" s="257" t="e">
        <f ca="1">Ratio</f>
        <v>#N/A</v>
      </c>
      <c r="U16" s="257" t="e">
        <f ca="1">(S16/(T16^2))</f>
        <v>#N/A</v>
      </c>
      <c r="W16" s="250" t="s">
        <v>585</v>
      </c>
      <c r="X16" s="251">
        <v>2.5</v>
      </c>
      <c r="Y16" s="251">
        <v>1.339</v>
      </c>
      <c r="Z16" s="251">
        <v>1</v>
      </c>
      <c r="AA16" s="251">
        <v>0.28299999999999997</v>
      </c>
      <c r="AB16" s="257">
        <v>2</v>
      </c>
      <c r="AC16" s="585">
        <f>((PI()*Z16*AA16/4)*(X16^2-Y16^2))*AB16</f>
        <v>1.9813292199660117</v>
      </c>
      <c r="AD16" s="257">
        <f>(((AC16/386.4)*(X16^2+Y16^2))/8)</f>
        <v>5.1551741689888249E-3</v>
      </c>
      <c r="AE16" s="257" t="e">
        <f ca="1">Ratio</f>
        <v>#N/A</v>
      </c>
      <c r="AF16" s="257" t="e">
        <f ca="1">(AD16/(AE16^2))</f>
        <v>#N/A</v>
      </c>
      <c r="AH16" s="250" t="s">
        <v>585</v>
      </c>
      <c r="AI16" s="251">
        <v>2.5</v>
      </c>
      <c r="AJ16" s="251">
        <v>1.339</v>
      </c>
      <c r="AK16" s="251">
        <v>1</v>
      </c>
      <c r="AL16" s="251">
        <v>0.28299999999999997</v>
      </c>
      <c r="AM16" s="257">
        <v>2</v>
      </c>
      <c r="AN16" s="585">
        <f>((PI()*AK16*AL16/4)*(AI16^2-AJ16^2))*AM16</f>
        <v>1.9813292199660117</v>
      </c>
      <c r="AO16" s="257">
        <f>(((AN16/386.4)*(AI16^2+AJ16^2))/8)</f>
        <v>5.1551741689888249E-3</v>
      </c>
      <c r="AP16" s="257" t="e">
        <f ca="1">Ratio</f>
        <v>#N/A</v>
      </c>
      <c r="AQ16" s="257" t="e">
        <f ca="1">(AO16/(AP16^2))</f>
        <v>#N/A</v>
      </c>
      <c r="AS16" s="250" t="s">
        <v>585</v>
      </c>
      <c r="AT16" s="251">
        <v>2.5</v>
      </c>
      <c r="AU16" s="251">
        <v>1.339</v>
      </c>
      <c r="AV16" s="251">
        <v>1</v>
      </c>
      <c r="AW16" s="251">
        <v>0.28299999999999997</v>
      </c>
      <c r="AX16" s="257">
        <v>2</v>
      </c>
      <c r="AY16" s="585">
        <f>((PI()*AV16*AW16/4)*(AT16^2-AU16^2))*AX16</f>
        <v>1.9813292199660117</v>
      </c>
      <c r="AZ16" s="257">
        <f>(((AY16/386.4)*(AT16^2+AU16^2))/8)</f>
        <v>5.1551741689888249E-3</v>
      </c>
      <c r="BA16" s="257" t="e">
        <f ca="1">Ratio</f>
        <v>#N/A</v>
      </c>
      <c r="BB16" s="257" t="e">
        <f ca="1">(AZ16/(BA16^2))</f>
        <v>#N/A</v>
      </c>
      <c r="BD16" s="250" t="s">
        <v>585</v>
      </c>
      <c r="BE16" s="251">
        <v>3.5</v>
      </c>
      <c r="BF16" s="251">
        <v>1.85</v>
      </c>
      <c r="BG16" s="251">
        <v>1.25</v>
      </c>
      <c r="BH16" s="251">
        <v>0.28299999999999997</v>
      </c>
      <c r="BI16" s="257">
        <v>2</v>
      </c>
      <c r="BJ16" s="585">
        <f>((PI()*BG16*BH16/4)*(BE16^2-BF16^2))*BI16</f>
        <v>4.9051698683291143</v>
      </c>
      <c r="BK16" s="257">
        <f>(((BJ16/386.4)*(BE16^2+BF16^2))/8)</f>
        <v>2.4869395303244061E-2</v>
      </c>
      <c r="BL16" s="257" t="e">
        <f ca="1">Ratio</f>
        <v>#N/A</v>
      </c>
      <c r="BM16" s="257" t="e">
        <f ca="1">(BK16/(BL16^2))</f>
        <v>#N/A</v>
      </c>
      <c r="BO16" s="250" t="s">
        <v>585</v>
      </c>
      <c r="BP16" s="251">
        <v>3.5</v>
      </c>
      <c r="BQ16" s="251">
        <v>1.85</v>
      </c>
      <c r="BR16" s="251">
        <v>1.25</v>
      </c>
      <c r="BS16" s="251">
        <v>0.28299999999999997</v>
      </c>
      <c r="BT16" s="257">
        <v>2</v>
      </c>
      <c r="BU16" s="585">
        <f>((PI()*BR16*BS16/4)*(BP16^2-BQ16^2))*BT16</f>
        <v>4.9051698683291143</v>
      </c>
      <c r="BV16" s="257">
        <f>(((BU16/386.4)*(BP16^2+BQ16^2))/8)</f>
        <v>2.4869395303244061E-2</v>
      </c>
      <c r="BW16" s="257" t="e">
        <f ca="1">Ratio</f>
        <v>#N/A</v>
      </c>
      <c r="BX16" s="257" t="e">
        <f ca="1">(BV16/(BW16^2))</f>
        <v>#N/A</v>
      </c>
      <c r="BZ16" s="250" t="s">
        <v>585</v>
      </c>
      <c r="CA16" s="251">
        <v>3.5</v>
      </c>
      <c r="CB16" s="251">
        <v>1.85</v>
      </c>
      <c r="CC16" s="251">
        <v>1.25</v>
      </c>
      <c r="CD16" s="251">
        <v>0.28299999999999997</v>
      </c>
      <c r="CE16" s="257">
        <v>2</v>
      </c>
      <c r="CF16" s="585">
        <f>((PI()*CC16*CD16/4)*(CA16^2-CB16^2))*CE16</f>
        <v>4.9051698683291143</v>
      </c>
      <c r="CG16" s="257">
        <f>(((CF16/386.4)*(CA16^2+CB16^2))/8)</f>
        <v>2.4869395303244061E-2</v>
      </c>
      <c r="CH16" s="257" t="e">
        <f ca="1">Ratio</f>
        <v>#N/A</v>
      </c>
      <c r="CI16" s="257" t="e">
        <f ca="1">(CG16/(CH16^2))</f>
        <v>#N/A</v>
      </c>
      <c r="CK16" s="250" t="s">
        <v>588</v>
      </c>
      <c r="CL16" s="251">
        <v>3.125</v>
      </c>
      <c r="CM16" s="251">
        <v>2</v>
      </c>
      <c r="CN16" s="251">
        <v>1.5</v>
      </c>
      <c r="CO16" s="251">
        <v>0.28299999999999997</v>
      </c>
      <c r="CP16" s="257">
        <v>2</v>
      </c>
      <c r="CQ16" s="585">
        <f>((PI()*CN16*CO16/4)*(CL16^2-CM16^2))*CP16</f>
        <v>3.8445362816768123</v>
      </c>
      <c r="CR16" s="257">
        <f>(((CQ16/386.4)*(CL16^2+CM16^2))/8)</f>
        <v>1.7120356092280464E-2</v>
      </c>
      <c r="CS16" s="257" t="e">
        <f ca="1">(CL15/CL18)*Ratio</f>
        <v>#N/A</v>
      </c>
      <c r="CT16" s="257" t="e">
        <f ca="1">(CR16/(CS16^2))</f>
        <v>#N/A</v>
      </c>
      <c r="CV16" s="250" t="s">
        <v>589</v>
      </c>
      <c r="CW16" s="255">
        <v>5.83</v>
      </c>
      <c r="CX16" s="339">
        <v>2</v>
      </c>
      <c r="CY16" s="339">
        <v>2</v>
      </c>
      <c r="CZ16" s="251">
        <v>0.28299999999999997</v>
      </c>
      <c r="DA16" s="257">
        <v>2</v>
      </c>
      <c r="DB16" s="585">
        <f>((PI()*CY16*CZ16/4)*(CW16^2-CX16^2))*DA16</f>
        <v>26.662252943974618</v>
      </c>
      <c r="DC16" s="257">
        <f>(((DB16/386.4)*(CW16^2+CX16^2))/8)</f>
        <v>0.32766228676997849</v>
      </c>
      <c r="DD16" s="257" t="e">
        <f ca="1">Ratio</f>
        <v>#N/A</v>
      </c>
      <c r="DE16" s="257" t="e">
        <f ca="1">(DC16/(DD16^2))</f>
        <v>#N/A</v>
      </c>
      <c r="DG16" s="250"/>
      <c r="DH16" s="339"/>
      <c r="DI16" s="339"/>
      <c r="DJ16" s="339"/>
      <c r="DK16" s="254"/>
      <c r="DL16" s="245"/>
      <c r="DM16" s="435"/>
      <c r="DN16" s="254"/>
      <c r="DO16" s="255"/>
      <c r="DP16" s="256"/>
      <c r="DR16" s="250"/>
      <c r="DS16" s="341"/>
      <c r="DT16" s="341"/>
      <c r="DU16" s="342"/>
      <c r="DV16" s="251"/>
      <c r="DW16" s="257"/>
      <c r="DX16" s="435"/>
      <c r="DY16" s="254"/>
      <c r="DZ16" s="341"/>
      <c r="EA16" s="256"/>
      <c r="EC16" s="250"/>
      <c r="ED16" s="341">
        <v>5.75</v>
      </c>
      <c r="EE16" s="341">
        <v>0</v>
      </c>
      <c r="EF16" s="342">
        <v>2</v>
      </c>
      <c r="EG16" s="251">
        <v>0.28299999999999997</v>
      </c>
      <c r="EH16" s="257">
        <v>1</v>
      </c>
      <c r="EI16" s="585">
        <f t="shared" si="0"/>
        <v>14.697450355967721</v>
      </c>
      <c r="EJ16" s="257">
        <f t="shared" si="1"/>
        <v>0.15719929231178276</v>
      </c>
      <c r="EK16" s="258" t="e">
        <f t="shared" ca="1" si="2"/>
        <v>#N/A</v>
      </c>
      <c r="EL16" s="257" t="e">
        <f t="shared" ca="1" si="3"/>
        <v>#N/A</v>
      </c>
    </row>
    <row r="17" spans="1:142" ht="15.75" x14ac:dyDescent="0.25">
      <c r="A17" s="250" t="s">
        <v>590</v>
      </c>
      <c r="B17" s="251">
        <v>4.88</v>
      </c>
      <c r="C17" s="251">
        <v>2.1875</v>
      </c>
      <c r="D17" s="251">
        <v>0.75</v>
      </c>
      <c r="E17" s="251">
        <v>0.28299999999999997</v>
      </c>
      <c r="F17" s="257">
        <v>1</v>
      </c>
      <c r="G17" s="585">
        <f>((PI()*D17*E17/4)*(B17^2-C17^2))*F17</f>
        <v>3.1721893987966054</v>
      </c>
      <c r="H17" s="257">
        <f>(((G17/386.4)*(B17^2+C17^2))/8)</f>
        <v>2.934886424253921E-2</v>
      </c>
      <c r="I17" s="257" t="e">
        <f ca="1">Ratio</f>
        <v>#N/A</v>
      </c>
      <c r="J17" s="257" t="e">
        <f ca="1">(H17/(I17^2))</f>
        <v>#N/A</v>
      </c>
      <c r="L17" s="250" t="s">
        <v>590</v>
      </c>
      <c r="M17" s="251">
        <v>4.88</v>
      </c>
      <c r="N17" s="251">
        <v>2.1875</v>
      </c>
      <c r="O17" s="251">
        <v>0.75</v>
      </c>
      <c r="P17" s="251">
        <v>0.28299999999999997</v>
      </c>
      <c r="Q17" s="257">
        <v>1</v>
      </c>
      <c r="R17" s="585">
        <f>((PI()*P17*O17/4)*(M17^2-N17^2))*Q17</f>
        <v>3.1721893987966054</v>
      </c>
      <c r="S17" s="257">
        <f>(((R17/386.4)*(M17^2+N17^2))/8)</f>
        <v>2.934886424253921E-2</v>
      </c>
      <c r="T17" s="257" t="e">
        <f ca="1">Ratio</f>
        <v>#N/A</v>
      </c>
      <c r="U17" s="257" t="e">
        <f ca="1">(S17/(T17^2))</f>
        <v>#N/A</v>
      </c>
      <c r="W17" s="250"/>
      <c r="X17" s="251"/>
      <c r="Y17" s="251"/>
      <c r="Z17" s="251"/>
      <c r="AA17" s="251"/>
      <c r="AB17" s="245"/>
      <c r="AC17" s="429"/>
      <c r="AD17" s="254"/>
      <c r="AE17" s="255"/>
      <c r="AF17" s="256"/>
      <c r="AH17" s="250"/>
      <c r="AI17" s="251"/>
      <c r="AJ17" s="251"/>
      <c r="AK17" s="251"/>
      <c r="AL17" s="251"/>
      <c r="AM17" s="245"/>
      <c r="AN17" s="429"/>
      <c r="AO17" s="254"/>
      <c r="AP17" s="245"/>
      <c r="AQ17" s="245"/>
      <c r="AS17" s="250"/>
      <c r="AT17" s="251"/>
      <c r="AU17" s="251"/>
      <c r="AV17" s="251"/>
      <c r="AW17" s="251"/>
      <c r="AX17" s="245"/>
      <c r="AY17" s="429"/>
      <c r="AZ17" s="254"/>
      <c r="BA17" s="251"/>
      <c r="BB17" s="256"/>
      <c r="BD17" s="250"/>
      <c r="BE17" s="251"/>
      <c r="BF17" s="251"/>
      <c r="BG17" s="251"/>
      <c r="BH17" s="251"/>
      <c r="BI17" s="245"/>
      <c r="BJ17" s="429"/>
      <c r="BK17" s="254"/>
      <c r="BL17" s="251"/>
      <c r="BM17" s="245"/>
      <c r="BO17" s="250"/>
      <c r="BP17" s="251"/>
      <c r="BQ17" s="251"/>
      <c r="BR17" s="251"/>
      <c r="BS17" s="251"/>
      <c r="BT17" s="245"/>
      <c r="BU17" s="429"/>
      <c r="BV17" s="254"/>
      <c r="BW17" s="245"/>
      <c r="BX17" s="245"/>
      <c r="BZ17" s="250"/>
      <c r="CA17" s="251"/>
      <c r="CB17" s="251"/>
      <c r="CC17" s="251"/>
      <c r="CD17" s="251"/>
      <c r="CE17" s="245"/>
      <c r="CF17" s="429"/>
      <c r="CG17" s="254"/>
      <c r="CH17" s="245"/>
      <c r="CI17" s="245"/>
      <c r="CK17" s="250"/>
      <c r="CL17" s="251"/>
      <c r="CM17" s="251"/>
      <c r="CN17" s="251"/>
      <c r="CO17" s="251"/>
      <c r="CP17" s="245"/>
      <c r="CQ17" s="429"/>
      <c r="CR17" s="254"/>
      <c r="CS17" s="255"/>
      <c r="CT17" s="256"/>
      <c r="CV17" s="250" t="s">
        <v>593</v>
      </c>
      <c r="CW17" s="255">
        <v>3.25</v>
      </c>
      <c r="CX17" s="339">
        <v>2</v>
      </c>
      <c r="CY17" s="339">
        <v>2</v>
      </c>
      <c r="CZ17" s="251">
        <v>0.28299999999999997</v>
      </c>
      <c r="DA17" s="257">
        <v>2</v>
      </c>
      <c r="DB17" s="585">
        <f>((PI()*CY17*CZ17/4)*(CW17^2-CX17^2))*DA17</f>
        <v>5.8345266063387928</v>
      </c>
      <c r="DC17" s="257">
        <f>(((DB17/386.4)*(CW17^2+CX17^2))/8)</f>
        <v>2.748618455771502E-2</v>
      </c>
      <c r="DD17" s="257" t="e">
        <f ca="1">Ratio</f>
        <v>#N/A</v>
      </c>
      <c r="DE17" s="257" t="e">
        <f ca="1">(DC17/(DD17^2))</f>
        <v>#N/A</v>
      </c>
      <c r="DG17" s="250" t="s">
        <v>603</v>
      </c>
      <c r="DH17" s="339">
        <v>5.83</v>
      </c>
      <c r="DI17" s="339">
        <v>2</v>
      </c>
      <c r="DJ17" s="339">
        <v>2</v>
      </c>
      <c r="DK17" s="254">
        <v>0.28299999999999997</v>
      </c>
      <c r="DL17" s="257">
        <v>2</v>
      </c>
      <c r="DM17" s="585">
        <f>((PI()*DJ17*DK17/4)*(DH17^2-DI17^2))*DL17</f>
        <v>26.662252943974618</v>
      </c>
      <c r="DN17" s="257">
        <f>(((DM17/386.4)*(DH17^2+DI17^2))/8)</f>
        <v>0.32766228676997849</v>
      </c>
      <c r="DO17" s="257" t="e">
        <f ca="1">Ratio</f>
        <v>#N/A</v>
      </c>
      <c r="DP17" s="257" t="e">
        <f ca="1">(DN17/(DO17^2))</f>
        <v>#N/A</v>
      </c>
      <c r="DR17" s="250"/>
      <c r="DS17" s="341"/>
      <c r="DT17" s="341"/>
      <c r="DU17" s="258"/>
      <c r="DV17" s="343"/>
      <c r="DW17" s="245"/>
      <c r="DX17" s="435"/>
      <c r="DY17" s="254"/>
      <c r="DZ17" s="341"/>
      <c r="EA17" s="256"/>
      <c r="EC17" s="250"/>
      <c r="ED17" s="341"/>
      <c r="EE17" s="341"/>
      <c r="EF17" s="258"/>
      <c r="EG17" s="343"/>
      <c r="EH17" s="245"/>
      <c r="EI17" s="435"/>
      <c r="EJ17" s="254"/>
      <c r="EK17" s="341"/>
      <c r="EL17" s="256"/>
    </row>
    <row r="18" spans="1:142" ht="15.75" x14ac:dyDescent="0.25">
      <c r="A18" s="250"/>
      <c r="B18" s="251"/>
      <c r="C18" s="251"/>
      <c r="D18" s="251"/>
      <c r="E18" s="251"/>
      <c r="F18" s="245"/>
      <c r="G18" s="429"/>
      <c r="H18" s="254"/>
      <c r="I18" s="255"/>
      <c r="J18" s="256"/>
      <c r="L18" s="250"/>
      <c r="M18" s="251"/>
      <c r="N18" s="251"/>
      <c r="O18" s="251"/>
      <c r="P18" s="251"/>
      <c r="Q18" s="245"/>
      <c r="R18" s="429"/>
      <c r="S18" s="254"/>
      <c r="T18" s="255"/>
      <c r="U18" s="256"/>
      <c r="W18" s="250" t="s">
        <v>1032</v>
      </c>
      <c r="X18" s="251">
        <v>8.9629999999999992</v>
      </c>
      <c r="Y18" s="251">
        <v>7.9</v>
      </c>
      <c r="Z18" s="251">
        <v>1.22</v>
      </c>
      <c r="AA18" s="251">
        <v>0.28299999999999997</v>
      </c>
      <c r="AB18" s="257">
        <v>1</v>
      </c>
      <c r="AC18" s="585">
        <f>((PI()*Z18*AA18/4)*(X18^2-Y18^2))*AB18</f>
        <v>4.8607608258250448</v>
      </c>
      <c r="AD18" s="257">
        <f>(((AC18/386.4)*(X18^2+Y18^2))/8)</f>
        <v>0.22446011183460815</v>
      </c>
      <c r="AE18" s="257" t="e">
        <f ca="1">Ratio</f>
        <v>#N/A</v>
      </c>
      <c r="AF18" s="257" t="e">
        <f ca="1">(AD18/(AE18^2))</f>
        <v>#N/A</v>
      </c>
      <c r="AH18" s="250" t="s">
        <v>1032</v>
      </c>
      <c r="AI18" s="251">
        <v>8.9629999999999992</v>
      </c>
      <c r="AJ18" s="251">
        <v>7.9</v>
      </c>
      <c r="AK18" s="251">
        <v>1.22</v>
      </c>
      <c r="AL18" s="251">
        <v>0.28299999999999997</v>
      </c>
      <c r="AM18" s="257">
        <v>1</v>
      </c>
      <c r="AN18" s="585">
        <f>((PI()*AK18*AL18/4)*(AI18^2-AJ18^2))*AM18</f>
        <v>4.8607608258250448</v>
      </c>
      <c r="AO18" s="257">
        <f>(((AN18/386.4)*(AI18^2+AJ18^2))/8)</f>
        <v>0.22446011183460815</v>
      </c>
      <c r="AP18" s="257" t="e">
        <f ca="1">Ratio</f>
        <v>#N/A</v>
      </c>
      <c r="AQ18" s="257" t="e">
        <f ca="1">(AO18/(AP18^2))</f>
        <v>#N/A</v>
      </c>
      <c r="AS18" s="250" t="s">
        <v>587</v>
      </c>
      <c r="AT18" s="251">
        <v>11.154</v>
      </c>
      <c r="AU18" s="251">
        <v>7.9</v>
      </c>
      <c r="AV18" s="251">
        <v>1.22</v>
      </c>
      <c r="AW18" s="251">
        <v>0.28299999999999997</v>
      </c>
      <c r="AX18" s="257">
        <v>1</v>
      </c>
      <c r="AY18" s="585">
        <f>((PI()*AV18*AW18/4)*(AT18^2-AU18^2))*AX18</f>
        <v>16.812792655299322</v>
      </c>
      <c r="AZ18" s="257">
        <f>(((AY18/386.4)*(AT18^2+AU18^2))/8)</f>
        <v>1.0161085580406366</v>
      </c>
      <c r="BA18" s="257" t="e">
        <f ca="1">Ratio</f>
        <v>#N/A</v>
      </c>
      <c r="BB18" s="257" t="e">
        <f ca="1">(AZ18/(BA18^2))</f>
        <v>#N/A</v>
      </c>
      <c r="BD18" s="250" t="s">
        <v>587</v>
      </c>
      <c r="BE18" s="251">
        <v>11.02</v>
      </c>
      <c r="BF18" s="251">
        <v>9.9570000000000007</v>
      </c>
      <c r="BG18" s="251">
        <v>1.22</v>
      </c>
      <c r="BH18" s="251">
        <v>0.28299999999999997</v>
      </c>
      <c r="BI18" s="257">
        <v>1</v>
      </c>
      <c r="BJ18" s="585">
        <f>((PI()*BG18*BH18/4)*(BE18^2-BF18^2))*BI18</f>
        <v>6.0466215882898657</v>
      </c>
      <c r="BK18" s="257">
        <f>(((BJ18/386.4)*(BE18^2+BF18^2))/8)</f>
        <v>0.43147560455387246</v>
      </c>
      <c r="BL18" s="257" t="e">
        <f ca="1">Ratio</f>
        <v>#N/A</v>
      </c>
      <c r="BM18" s="257" t="e">
        <f ca="1">(BK18/(BL18^2))</f>
        <v>#N/A</v>
      </c>
      <c r="BO18" s="250" t="s">
        <v>1032</v>
      </c>
      <c r="BP18" s="251">
        <v>8.9629999999999992</v>
      </c>
      <c r="BQ18" s="251">
        <v>7.9</v>
      </c>
      <c r="BR18" s="251">
        <v>1.22</v>
      </c>
      <c r="BS18" s="251">
        <v>0.28299999999999997</v>
      </c>
      <c r="BT18" s="257">
        <v>1</v>
      </c>
      <c r="BU18" s="585">
        <f>((PI()*BR18*BS18/4)*(BP18^2-BQ18^2))*BT18</f>
        <v>4.8607608258250448</v>
      </c>
      <c r="BV18" s="257">
        <f>(((BU18/386.4)*(BP18^2+BQ18^2))/8)</f>
        <v>0.22446011183460815</v>
      </c>
      <c r="BW18" s="257" t="e">
        <f ca="1">Ratio</f>
        <v>#N/A</v>
      </c>
      <c r="BX18" s="257" t="e">
        <f ca="1">(BV18/(BW18^2))</f>
        <v>#N/A</v>
      </c>
      <c r="BZ18" s="250" t="s">
        <v>587</v>
      </c>
      <c r="CA18" s="251">
        <v>5.5940000000000003</v>
      </c>
      <c r="CB18" s="251">
        <v>4.88</v>
      </c>
      <c r="CC18" s="251">
        <v>1.28</v>
      </c>
      <c r="CD18" s="251">
        <v>0.28299999999999997</v>
      </c>
      <c r="CE18" s="257">
        <v>1</v>
      </c>
      <c r="CF18" s="585">
        <f>((PI()*CC18*CD18/4)*(CA18^2-CB18^2))*CE18</f>
        <v>2.1276347155895783</v>
      </c>
      <c r="CG18" s="257">
        <f>(((CF18/386.4)*(CA18^2+CB18^2))/8)</f>
        <v>3.7929628750578342E-2</v>
      </c>
      <c r="CH18" s="257" t="e">
        <f ca="1">Ratio</f>
        <v>#N/A</v>
      </c>
      <c r="CI18" s="257" t="e">
        <f ca="1">(CG18/(CH18^2))</f>
        <v>#N/A</v>
      </c>
      <c r="CK18" s="250" t="s">
        <v>595</v>
      </c>
      <c r="CL18" s="251">
        <v>4.83</v>
      </c>
      <c r="CM18" s="251">
        <v>2</v>
      </c>
      <c r="CN18" s="251">
        <v>2</v>
      </c>
      <c r="CO18" s="251">
        <v>0.28299999999999997</v>
      </c>
      <c r="CP18" s="257">
        <v>2</v>
      </c>
      <c r="CQ18" s="585">
        <f>((PI()*CN18*CO18/4)*(CL18^2-CM18^2))*CP18</f>
        <v>17.184759058478004</v>
      </c>
      <c r="CR18" s="257">
        <f>(((CQ18/386.4)*(CL18^2+CM18^2))/8)</f>
        <v>0.15192823558269913</v>
      </c>
      <c r="CS18" s="257" t="e">
        <f ca="1">Ratio</f>
        <v>#N/A</v>
      </c>
      <c r="CT18" s="257" t="e">
        <f ca="1">(CR18/(CS18^2))</f>
        <v>#N/A</v>
      </c>
      <c r="CV18" s="250"/>
      <c r="CW18" s="255"/>
      <c r="CX18" s="339"/>
      <c r="CY18" s="339"/>
      <c r="CZ18" s="251"/>
      <c r="DA18" s="245"/>
      <c r="DB18" s="435"/>
      <c r="DC18" s="254"/>
      <c r="DD18" s="255"/>
      <c r="DE18" s="256"/>
      <c r="DG18" s="250" t="s">
        <v>593</v>
      </c>
      <c r="DH18" s="339">
        <v>3.25</v>
      </c>
      <c r="DI18" s="339">
        <v>2</v>
      </c>
      <c r="DJ18" s="339">
        <v>2</v>
      </c>
      <c r="DK18" s="254">
        <v>0.28299999999999997</v>
      </c>
      <c r="DL18" s="257">
        <v>2</v>
      </c>
      <c r="DM18" s="585">
        <f>((PI()*DJ18*DK18/4)*(DH18^2-DI18^2))*DL18</f>
        <v>5.8345266063387928</v>
      </c>
      <c r="DN18" s="257">
        <f>(((DM18/386.4)*(DH18^2+DI18^2))/8)</f>
        <v>2.748618455771502E-2</v>
      </c>
      <c r="DO18" s="257" t="e">
        <f ca="1">Ratio</f>
        <v>#N/A</v>
      </c>
      <c r="DP18" s="257" t="e">
        <f ca="1">(DN18/(DO18^2))</f>
        <v>#N/A</v>
      </c>
      <c r="DR18" s="250" t="s">
        <v>596</v>
      </c>
      <c r="DS18" s="341">
        <v>6.33</v>
      </c>
      <c r="DT18" s="341">
        <v>1.75</v>
      </c>
      <c r="DU18" s="342">
        <v>1.75</v>
      </c>
      <c r="DV18" s="251">
        <v>0.28299999999999997</v>
      </c>
      <c r="DW18" s="257">
        <v>2</v>
      </c>
      <c r="DX18" s="585">
        <f>((PI()*DU18*DV18/4)*(DS18^2-DT18^2))*DW18</f>
        <v>28.788643387308788</v>
      </c>
      <c r="DY18" s="257">
        <f>(((DX18/386.4)*(DS18^2+DT18^2))/8)</f>
        <v>0.40168688321537599</v>
      </c>
      <c r="DZ18" s="258" t="e">
        <f ca="1">Ratio</f>
        <v>#N/A</v>
      </c>
      <c r="EA18" s="257" t="e">
        <f ca="1">(DY18/(DZ18^2))</f>
        <v>#N/A</v>
      </c>
      <c r="EC18" s="250" t="s">
        <v>596</v>
      </c>
      <c r="ED18" s="341">
        <v>6.33</v>
      </c>
      <c r="EE18" s="341">
        <v>1.75</v>
      </c>
      <c r="EF18" s="342">
        <v>2</v>
      </c>
      <c r="EG18" s="251">
        <v>0.28299999999999997</v>
      </c>
      <c r="EH18" s="257">
        <v>2</v>
      </c>
      <c r="EI18" s="585">
        <f>((PI()*EF18*EG18/4)*(ED18^2-EE18^2))*EH18</f>
        <v>32.9013067283529</v>
      </c>
      <c r="EJ18" s="257">
        <f>(((EI18/386.4)*(ED18^2+EE18^2))/8)</f>
        <v>0.45907072367471541</v>
      </c>
      <c r="EK18" s="258" t="e">
        <f ca="1">Ratio</f>
        <v>#N/A</v>
      </c>
      <c r="EL18" s="257" t="e">
        <f ca="1">(EJ18/(EK18^2))</f>
        <v>#N/A</v>
      </c>
    </row>
    <row r="19" spans="1:142" ht="15.75" x14ac:dyDescent="0.25">
      <c r="A19" s="250" t="s">
        <v>597</v>
      </c>
      <c r="B19" s="251">
        <v>3.1875</v>
      </c>
      <c r="C19" s="251">
        <v>1</v>
      </c>
      <c r="D19" s="251">
        <v>0.4375</v>
      </c>
      <c r="E19" s="251">
        <v>0.28299999999999997</v>
      </c>
      <c r="F19" s="257">
        <v>1</v>
      </c>
      <c r="G19" s="585">
        <f>((PI()*D19*E19/4)*(B19^2-C19^2))*F19</f>
        <v>0.89075292264742645</v>
      </c>
      <c r="H19" s="257">
        <f>(((G19/386.4)*(B19^2+C19^2))/8)</f>
        <v>3.2158843804637178E-3</v>
      </c>
      <c r="I19" s="257" t="e">
        <f ca="1">Ratio</f>
        <v>#N/A</v>
      </c>
      <c r="J19" s="257" t="e">
        <f ca="1">(H19/(I19^2))</f>
        <v>#N/A</v>
      </c>
      <c r="L19" s="250" t="s">
        <v>597</v>
      </c>
      <c r="M19" s="251">
        <v>3.1875</v>
      </c>
      <c r="N19" s="251">
        <v>1</v>
      </c>
      <c r="O19" s="251">
        <v>0.4375</v>
      </c>
      <c r="P19" s="251">
        <v>0.28299999999999997</v>
      </c>
      <c r="Q19" s="257">
        <v>1</v>
      </c>
      <c r="R19" s="585">
        <f>((PI()*P19*O19/4)*(M19^2-N19^2))*Q19</f>
        <v>0.89075292264742645</v>
      </c>
      <c r="S19" s="257">
        <f>(((R19/386.4)*(M19^2+N19^2))/8)</f>
        <v>3.2158843804637178E-3</v>
      </c>
      <c r="T19" s="257" t="e">
        <f ca="1">Ratio</f>
        <v>#N/A</v>
      </c>
      <c r="U19" s="257" t="e">
        <f ca="1">(S19/(T19^2))</f>
        <v>#N/A</v>
      </c>
      <c r="W19" s="250" t="s">
        <v>598</v>
      </c>
      <c r="X19" s="251">
        <v>7.9</v>
      </c>
      <c r="Y19" s="251">
        <v>2.1875</v>
      </c>
      <c r="Z19" s="251">
        <v>0.87</v>
      </c>
      <c r="AA19" s="251">
        <v>0.28299999999999997</v>
      </c>
      <c r="AB19" s="257">
        <v>1</v>
      </c>
      <c r="AC19" s="585">
        <f>((PI()*Z19*AA19/4)*(X19^2-Y19^2))*AB19</f>
        <v>11.143082099793407</v>
      </c>
      <c r="AD19" s="257">
        <f>(((AC19/386.4)*(X19^2+Y19^2))/8)</f>
        <v>0.24222345458145575</v>
      </c>
      <c r="AE19" s="257" t="e">
        <f ca="1">Ratio</f>
        <v>#N/A</v>
      </c>
      <c r="AF19" s="257" t="e">
        <f ca="1">(AD19/(AE19^2))</f>
        <v>#N/A</v>
      </c>
      <c r="AH19" s="250" t="s">
        <v>598</v>
      </c>
      <c r="AI19" s="251">
        <v>7.9</v>
      </c>
      <c r="AJ19" s="251">
        <v>2.1875</v>
      </c>
      <c r="AK19" s="251">
        <v>0.87</v>
      </c>
      <c r="AL19" s="251">
        <v>0.28299999999999997</v>
      </c>
      <c r="AM19" s="257">
        <v>1</v>
      </c>
      <c r="AN19" s="585">
        <f>((PI()*AK19*AL19/4)*(AI19^2-AJ19^2))*AM19</f>
        <v>11.143082099793407</v>
      </c>
      <c r="AO19" s="257">
        <f>(((AN19/386.4)*(AI19^2+AJ19^2))/8)</f>
        <v>0.24222345458145575</v>
      </c>
      <c r="AP19" s="257" t="e">
        <f ca="1">Ratio</f>
        <v>#N/A</v>
      </c>
      <c r="AQ19" s="257" t="e">
        <f ca="1">(AO19/(AP19^2))</f>
        <v>#N/A</v>
      </c>
      <c r="AS19" s="250" t="s">
        <v>599</v>
      </c>
      <c r="AT19" s="251">
        <v>7.9</v>
      </c>
      <c r="AU19" s="251">
        <v>2.1880000000000002</v>
      </c>
      <c r="AV19" s="251">
        <v>0.87</v>
      </c>
      <c r="AW19" s="251">
        <v>0.28299999999999997</v>
      </c>
      <c r="AX19" s="257">
        <v>1</v>
      </c>
      <c r="AY19" s="585">
        <f>((PI()*AV19*AW19/4)*(AT19^2-AU19^2))*AX19</f>
        <v>11.142659048271227</v>
      </c>
      <c r="AZ19" s="257">
        <f>(((AY19/386.4)*(AT19^2+AU19^2))/8)</f>
        <v>0.2422221445203786</v>
      </c>
      <c r="BA19" s="257" t="e">
        <f ca="1">Ratio</f>
        <v>#N/A</v>
      </c>
      <c r="BB19" s="257" t="e">
        <f ca="1">(AZ19/(BA19^2))</f>
        <v>#N/A</v>
      </c>
      <c r="BD19" s="250" t="s">
        <v>599</v>
      </c>
      <c r="BE19" s="251">
        <v>9.9570000000000007</v>
      </c>
      <c r="BF19" s="251">
        <v>2.1880000000000002</v>
      </c>
      <c r="BG19" s="251">
        <v>0.87</v>
      </c>
      <c r="BH19" s="251">
        <v>0.28299999999999997</v>
      </c>
      <c r="BI19" s="257">
        <v>1</v>
      </c>
      <c r="BJ19" s="585">
        <f>((PI()*BG19*BH19/4)*(BE19^2-BF19^2))*BI19</f>
        <v>18.245602543614144</v>
      </c>
      <c r="BK19" s="257">
        <f>(((BJ19/386.4)*(BE19^2+BF19^2))/8)</f>
        <v>0.61343515403615612</v>
      </c>
      <c r="BL19" s="257" t="e">
        <f ca="1">Ratio</f>
        <v>#N/A</v>
      </c>
      <c r="BM19" s="257" t="e">
        <f ca="1">(BK19/(BL19^2))</f>
        <v>#N/A</v>
      </c>
      <c r="BO19" s="250" t="s">
        <v>598</v>
      </c>
      <c r="BP19" s="251">
        <v>7.9</v>
      </c>
      <c r="BQ19" s="251">
        <v>2.1875</v>
      </c>
      <c r="BR19" s="251">
        <v>0.87</v>
      </c>
      <c r="BS19" s="251">
        <v>0.28299999999999997</v>
      </c>
      <c r="BT19" s="257">
        <v>1</v>
      </c>
      <c r="BU19" s="585">
        <f>((PI()*BR19*BS19/4)*(BP19^2-BQ19^2))*BT19</f>
        <v>11.143082099793407</v>
      </c>
      <c r="BV19" s="257">
        <f>(((BU19/386.4)*(BP19^2+BQ19^2))/8)</f>
        <v>0.24222345458145575</v>
      </c>
      <c r="BW19" s="257" t="e">
        <f ca="1">Ratio</f>
        <v>#N/A</v>
      </c>
      <c r="BX19" s="257" t="e">
        <f ca="1">(BV19/(BW19^2))</f>
        <v>#N/A</v>
      </c>
      <c r="BZ19" s="250" t="s">
        <v>1033</v>
      </c>
      <c r="CA19" s="251">
        <v>4.88</v>
      </c>
      <c r="CB19" s="251">
        <v>2.1875</v>
      </c>
      <c r="CC19" s="251">
        <v>0.75</v>
      </c>
      <c r="CD19" s="251">
        <v>0.28299999999999997</v>
      </c>
      <c r="CE19" s="257">
        <v>1</v>
      </c>
      <c r="CF19" s="585">
        <f>((PI()*CC19*CD19/4)*(CA19^2-CB19^2))*CE19</f>
        <v>3.1721893987966054</v>
      </c>
      <c r="CG19" s="257">
        <f>(((CF19/386.4)*(CA19^2+CB19^2))/8)</f>
        <v>2.934886424253921E-2</v>
      </c>
      <c r="CH19" s="257" t="e">
        <f ca="1">Ratio</f>
        <v>#N/A</v>
      </c>
      <c r="CI19" s="257" t="e">
        <f ca="1">(CG19/(CH19^2))</f>
        <v>#N/A</v>
      </c>
      <c r="CK19" s="250" t="s">
        <v>600</v>
      </c>
      <c r="CL19" s="251">
        <v>3</v>
      </c>
      <c r="CM19" s="251">
        <v>2</v>
      </c>
      <c r="CN19" s="251">
        <v>1.5</v>
      </c>
      <c r="CO19" s="251">
        <v>0.28299999999999997</v>
      </c>
      <c r="CP19" s="257">
        <v>2</v>
      </c>
      <c r="CQ19" s="585">
        <f>((PI()*CN19*CO19/4)*(CL19^2-CM19^2))*CP19</f>
        <v>3.3340152036221675</v>
      </c>
      <c r="CR19" s="257">
        <f>(((CQ19/386.4)*(CL19^2+CM19^2))/8)</f>
        <v>1.4021156071133597E-2</v>
      </c>
      <c r="CS19" s="257" t="e">
        <f ca="1">Ratio</f>
        <v>#N/A</v>
      </c>
      <c r="CT19" s="257" t="e">
        <f ca="1">(CR19/(CS19^2))</f>
        <v>#N/A</v>
      </c>
      <c r="CV19" s="250" t="s">
        <v>601</v>
      </c>
      <c r="CW19" s="255">
        <v>5.33</v>
      </c>
      <c r="CX19" s="339">
        <v>1.75</v>
      </c>
      <c r="CY19" s="339">
        <v>2</v>
      </c>
      <c r="CZ19" s="251">
        <v>0.28299999999999997</v>
      </c>
      <c r="DA19" s="257">
        <v>2</v>
      </c>
      <c r="DB19" s="585">
        <f>((PI()*CY19*CZ19/4)*(CW19^2-CX19^2))*DA19</f>
        <v>22.534742121890375</v>
      </c>
      <c r="DC19" s="257">
        <f>(((DB19/386.4)*(CW19^2+CX19^2))/8)</f>
        <v>0.22942542805863766</v>
      </c>
      <c r="DD19" s="257" t="e">
        <f ca="1">(CW19/CW16)*Ratio</f>
        <v>#N/A</v>
      </c>
      <c r="DE19" s="257" t="e">
        <f ca="1">(DC19/(DD19^2))</f>
        <v>#N/A</v>
      </c>
      <c r="DG19" s="250"/>
      <c r="DH19" s="339"/>
      <c r="DI19" s="339"/>
      <c r="DJ19" s="339"/>
      <c r="DK19" s="254"/>
      <c r="DL19" s="245"/>
      <c r="DM19" s="435"/>
      <c r="DN19" s="254"/>
      <c r="DO19" s="255"/>
      <c r="DP19" s="256"/>
      <c r="DR19" s="250" t="s">
        <v>593</v>
      </c>
      <c r="DS19" s="341">
        <v>3.375</v>
      </c>
      <c r="DT19" s="341">
        <v>1.75</v>
      </c>
      <c r="DU19" s="342">
        <v>1.75</v>
      </c>
      <c r="DV19" s="251">
        <v>0.28299999999999997</v>
      </c>
      <c r="DW19" s="257">
        <v>2</v>
      </c>
      <c r="DX19" s="585">
        <f>((PI()*DU19*DV19/4)*(DS19^2-DT19^2))*DW19</f>
        <v>6.4787555857887016</v>
      </c>
      <c r="DY19" s="257">
        <f>(((DX19/386.4)*(DS19^2+DT19^2))/8)</f>
        <v>3.0291881575392192E-2</v>
      </c>
      <c r="DZ19" s="258" t="e">
        <f ca="1">Ratio</f>
        <v>#N/A</v>
      </c>
      <c r="EA19" s="257" t="e">
        <f ca="1">(DY19/(DZ19^2))</f>
        <v>#N/A</v>
      </c>
      <c r="EC19" s="250" t="s">
        <v>593</v>
      </c>
      <c r="ED19" s="341">
        <v>3.375</v>
      </c>
      <c r="EE19" s="341">
        <v>1.75</v>
      </c>
      <c r="EF19" s="342">
        <v>1.5</v>
      </c>
      <c r="EG19" s="251">
        <v>0.28299999999999997</v>
      </c>
      <c r="EH19" s="257">
        <v>2</v>
      </c>
      <c r="EI19" s="585">
        <f>((PI()*EF19*EG19/4)*(ED19^2-EE19^2))*EH19</f>
        <v>5.5532190735331728</v>
      </c>
      <c r="EJ19" s="257">
        <f>(((EI19/386.4)*(ED19^2+EE19^2))/8)</f>
        <v>2.5964469921764734E-2</v>
      </c>
      <c r="EK19" s="258" t="e">
        <f ca="1">Ratio</f>
        <v>#N/A</v>
      </c>
      <c r="EL19" s="257" t="e">
        <f ca="1">(EJ19/(EK19^2))</f>
        <v>#N/A</v>
      </c>
    </row>
    <row r="20" spans="1:142" ht="15.75" x14ac:dyDescent="0.25">
      <c r="A20" s="250" t="s">
        <v>602</v>
      </c>
      <c r="B20" s="251">
        <v>2.1875</v>
      </c>
      <c r="C20" s="251">
        <v>1</v>
      </c>
      <c r="D20" s="251">
        <v>0.875</v>
      </c>
      <c r="E20" s="251">
        <v>0.28299999999999997</v>
      </c>
      <c r="F20" s="257">
        <v>1</v>
      </c>
      <c r="G20" s="585">
        <f>((PI()*D20*E20/4)*(B20^2-C20^2))*F20</f>
        <v>0.73615316165915246</v>
      </c>
      <c r="H20" s="257">
        <f>(((G20/386.4)*(B20^2+C20^2))/8)</f>
        <v>1.3777047955906142E-3</v>
      </c>
      <c r="I20" s="257" t="e">
        <f ca="1">Ratio</f>
        <v>#N/A</v>
      </c>
      <c r="J20" s="257" t="e">
        <f ca="1">(H20/(I20^2))</f>
        <v>#N/A</v>
      </c>
      <c r="L20" s="250" t="s">
        <v>602</v>
      </c>
      <c r="M20" s="251">
        <v>2.1875</v>
      </c>
      <c r="N20" s="251">
        <v>1</v>
      </c>
      <c r="O20" s="251">
        <v>0.875</v>
      </c>
      <c r="P20" s="251">
        <v>0.28299999999999997</v>
      </c>
      <c r="Q20" s="257">
        <v>1</v>
      </c>
      <c r="R20" s="585">
        <f>((PI()*P20*O20/4)*(M20^2-N20^2))*Q20</f>
        <v>0.73615316165915246</v>
      </c>
      <c r="S20" s="257">
        <f>(((R20/386.4)*(M20^2+N20^2))/8)</f>
        <v>1.3777047955906142E-3</v>
      </c>
      <c r="T20" s="257" t="e">
        <f ca="1">Ratio</f>
        <v>#N/A</v>
      </c>
      <c r="U20" s="257" t="e">
        <f ca="1">(S20/(T20^2))</f>
        <v>#N/A</v>
      </c>
      <c r="W20" s="250"/>
      <c r="X20" s="251"/>
      <c r="Y20" s="251"/>
      <c r="Z20" s="251"/>
      <c r="AA20" s="251"/>
      <c r="AB20" s="245"/>
      <c r="AC20" s="429"/>
      <c r="AD20" s="254"/>
      <c r="AE20" s="255"/>
      <c r="AF20" s="256"/>
      <c r="AH20" s="250"/>
      <c r="AI20" s="251"/>
      <c r="AJ20" s="251"/>
      <c r="AK20" s="251"/>
      <c r="AL20" s="251"/>
      <c r="AM20" s="245"/>
      <c r="AN20" s="429"/>
      <c r="AO20" s="254"/>
      <c r="AP20" s="245"/>
      <c r="AQ20" s="245"/>
      <c r="AS20" s="250"/>
      <c r="AT20" s="251"/>
      <c r="AU20" s="251"/>
      <c r="AV20" s="251"/>
      <c r="AW20" s="251"/>
      <c r="AX20" s="245"/>
      <c r="AY20" s="429"/>
      <c r="AZ20" s="254"/>
      <c r="BA20" s="251"/>
      <c r="BB20" s="256"/>
      <c r="BD20" s="250"/>
      <c r="BE20" s="251"/>
      <c r="BF20" s="251"/>
      <c r="BG20" s="251"/>
      <c r="BH20" s="251"/>
      <c r="BI20" s="245"/>
      <c r="BJ20" s="429"/>
      <c r="BK20" s="254"/>
      <c r="BL20" s="251"/>
      <c r="BM20" s="245"/>
      <c r="BO20" s="250"/>
      <c r="BP20" s="251"/>
      <c r="BQ20" s="251"/>
      <c r="BR20" s="251"/>
      <c r="BS20" s="251"/>
      <c r="BT20" s="257"/>
      <c r="BU20" s="429"/>
      <c r="BV20" s="254"/>
      <c r="BW20" s="255"/>
      <c r="BX20" s="256"/>
      <c r="BZ20" s="250"/>
      <c r="CA20" s="251"/>
      <c r="CB20" s="251"/>
      <c r="CC20" s="251"/>
      <c r="CD20" s="251"/>
      <c r="CE20" s="257"/>
      <c r="CF20" s="429"/>
      <c r="CG20" s="254"/>
      <c r="CH20" s="255"/>
      <c r="CI20" s="256"/>
      <c r="CK20" s="250"/>
      <c r="CL20" s="251"/>
      <c r="CM20" s="251"/>
      <c r="CN20" s="251"/>
      <c r="CO20" s="251"/>
      <c r="CP20" s="245"/>
      <c r="CQ20" s="429"/>
      <c r="CR20" s="254"/>
      <c r="CS20" s="245"/>
      <c r="CT20" s="245"/>
      <c r="CV20" s="250" t="s">
        <v>593</v>
      </c>
      <c r="CW20" s="255">
        <v>3.125</v>
      </c>
      <c r="CX20" s="339">
        <v>1.75</v>
      </c>
      <c r="CY20" s="339">
        <v>2</v>
      </c>
      <c r="CZ20" s="251">
        <v>0.28299999999999997</v>
      </c>
      <c r="DA20" s="257">
        <v>2</v>
      </c>
      <c r="DB20" s="585">
        <f>((PI()*CY20*CZ20/4)*(CW20^2-CX20^2))*DA20</f>
        <v>5.9595521764746247</v>
      </c>
      <c r="DC20" s="257">
        <f>(((DB20/386.4)*(CW20^2+CX20^2))/8)</f>
        <v>2.4731457124688973E-2</v>
      </c>
      <c r="DD20" s="257" t="e">
        <f ca="1">(CW19/CW16)*Ratio</f>
        <v>#N/A</v>
      </c>
      <c r="DE20" s="257" t="e">
        <f ca="1">(DC20/(DD20^2))</f>
        <v>#N/A</v>
      </c>
      <c r="DG20" s="250" t="s">
        <v>594</v>
      </c>
      <c r="DH20" s="339">
        <v>5.33</v>
      </c>
      <c r="DI20" s="339">
        <v>1.75</v>
      </c>
      <c r="DJ20" s="339">
        <v>2</v>
      </c>
      <c r="DK20" s="254">
        <v>0.28299999999999997</v>
      </c>
      <c r="DL20" s="257">
        <v>2</v>
      </c>
      <c r="DM20" s="585">
        <f>((PI()*DJ20*DK20/4)*(DH20^2-DI20^2))*DL20</f>
        <v>22.534742121890375</v>
      </c>
      <c r="DN20" s="257">
        <f>(((DM20/386.4)*(DH20^2+DI20^2))/8)</f>
        <v>0.22942542805863766</v>
      </c>
      <c r="DO20" s="257" t="e">
        <f ca="1">(DH20/DH17)*Ratio</f>
        <v>#N/A</v>
      </c>
      <c r="DP20" s="257" t="e">
        <f ca="1">(DN20/(DO20^2))</f>
        <v>#N/A</v>
      </c>
      <c r="DR20" s="250"/>
      <c r="DS20" s="341"/>
      <c r="DT20" s="341"/>
      <c r="DU20" s="258"/>
      <c r="DV20" s="251"/>
      <c r="DW20" s="245"/>
      <c r="DX20" s="435"/>
      <c r="DY20" s="254"/>
      <c r="DZ20" s="341"/>
      <c r="EA20" s="256"/>
      <c r="EC20" s="250"/>
      <c r="ED20" s="341"/>
      <c r="EE20" s="341"/>
      <c r="EF20" s="258"/>
      <c r="EG20" s="251"/>
      <c r="EH20" s="245"/>
      <c r="EI20" s="435"/>
      <c r="EJ20" s="254"/>
      <c r="EK20" s="341"/>
      <c r="EL20" s="256"/>
    </row>
    <row r="21" spans="1:142" ht="15.75" x14ac:dyDescent="0.25">
      <c r="A21" s="250"/>
      <c r="B21" s="251"/>
      <c r="C21" s="251"/>
      <c r="D21" s="251"/>
      <c r="E21" s="251"/>
      <c r="F21" s="245"/>
      <c r="G21" s="429"/>
      <c r="H21" s="254"/>
      <c r="I21" s="245"/>
      <c r="J21" s="256"/>
      <c r="L21" s="250"/>
      <c r="M21" s="251"/>
      <c r="N21" s="251"/>
      <c r="O21" s="251"/>
      <c r="P21" s="251"/>
      <c r="Q21" s="245"/>
      <c r="R21" s="429"/>
      <c r="S21" s="254"/>
      <c r="T21" s="245"/>
      <c r="U21" s="256"/>
      <c r="W21" s="250" t="s">
        <v>1034</v>
      </c>
      <c r="X21" s="251">
        <v>3.1875</v>
      </c>
      <c r="Y21" s="251">
        <v>1.25</v>
      </c>
      <c r="Z21" s="251">
        <v>0.4375</v>
      </c>
      <c r="AA21" s="251">
        <v>0.28299999999999997</v>
      </c>
      <c r="AB21" s="257">
        <v>1</v>
      </c>
      <c r="AC21" s="585">
        <f>((PI()*Z21*AA21/4)*(X21^2-Y21^2))*AB21</f>
        <v>0.8360542357130003</v>
      </c>
      <c r="AD21" s="257">
        <f>(((AC21/386.4)*(X21^2+Y21^2))/8)</f>
        <v>3.1705410234277877E-3</v>
      </c>
      <c r="AE21" s="257" t="e">
        <f ca="1">Ratio</f>
        <v>#N/A</v>
      </c>
      <c r="AF21" s="257" t="e">
        <f ca="1">(AD21/(AE21^2))</f>
        <v>#N/A</v>
      </c>
      <c r="AH21" s="250" t="s">
        <v>1034</v>
      </c>
      <c r="AI21" s="251">
        <v>3.1875</v>
      </c>
      <c r="AJ21" s="251">
        <v>1.25</v>
      </c>
      <c r="AK21" s="251">
        <v>0.4375</v>
      </c>
      <c r="AL21" s="251">
        <v>0.28299999999999997</v>
      </c>
      <c r="AM21" s="257">
        <v>1</v>
      </c>
      <c r="AN21" s="585">
        <f>((PI()*AK21*AL21/4)*(AI21^2-AJ21^2))*AM21</f>
        <v>0.8360542357130003</v>
      </c>
      <c r="AO21" s="257">
        <f>(((AN21/386.4)*(AI21^2+AJ21^2))/8)</f>
        <v>3.1705410234277877E-3</v>
      </c>
      <c r="AP21" s="257" t="e">
        <f ca="1">Ratio</f>
        <v>#N/A</v>
      </c>
      <c r="AQ21" s="257" t="e">
        <f ca="1">(AO21/(AP21^2))</f>
        <v>#N/A</v>
      </c>
      <c r="AS21" s="250" t="s">
        <v>597</v>
      </c>
      <c r="AT21" s="251">
        <v>3.1880000000000002</v>
      </c>
      <c r="AU21" s="251">
        <v>1.25</v>
      </c>
      <c r="AV21" s="251">
        <v>0.438</v>
      </c>
      <c r="AW21" s="251">
        <v>0.28299999999999997</v>
      </c>
      <c r="AX21" s="257">
        <v>1</v>
      </c>
      <c r="AY21" s="585">
        <f>((PI()*AV21*AW21/4)*(AT21^2-AU21^2))*AX21</f>
        <v>0.83732006407148896</v>
      </c>
      <c r="AZ21" s="257">
        <f>(((AY21/386.4)*(AT21^2+AU21^2))/8)</f>
        <v>3.1762048555163971E-3</v>
      </c>
      <c r="BA21" s="257" t="e">
        <f ca="1">Ratio</f>
        <v>#N/A</v>
      </c>
      <c r="BB21" s="257" t="e">
        <f ca="1">(AZ21/(BA21^2))</f>
        <v>#N/A</v>
      </c>
      <c r="BD21" s="250" t="s">
        <v>597</v>
      </c>
      <c r="BE21" s="251">
        <v>3.1880000000000002</v>
      </c>
      <c r="BF21" s="251">
        <v>1.875</v>
      </c>
      <c r="BG21" s="251">
        <v>0.438</v>
      </c>
      <c r="BH21" s="251">
        <v>0.28299999999999997</v>
      </c>
      <c r="BI21" s="257">
        <v>1</v>
      </c>
      <c r="BJ21" s="585">
        <f>((PI()*BG21*BH21/4)*(BE21^2-BF21^2))*BI21</f>
        <v>0.64717700948991219</v>
      </c>
      <c r="BK21" s="257">
        <f>(((BJ21/386.4)*(BE21^2+BF21^2))/8)</f>
        <v>2.8638438956797409E-3</v>
      </c>
      <c r="BL21" s="257" t="e">
        <f ca="1">Ratio</f>
        <v>#N/A</v>
      </c>
      <c r="BM21" s="257" t="e">
        <f ca="1">(BK21/(BL21^2))</f>
        <v>#N/A</v>
      </c>
      <c r="BO21" s="250" t="s">
        <v>597</v>
      </c>
      <c r="BP21" s="251">
        <v>3.1875</v>
      </c>
      <c r="BQ21" s="251">
        <v>1.875</v>
      </c>
      <c r="BR21" s="251">
        <v>0.438</v>
      </c>
      <c r="BS21" s="251">
        <v>0.28299999999999997</v>
      </c>
      <c r="BT21" s="257">
        <v>1</v>
      </c>
      <c r="BU21" s="585">
        <f>((PI()*BR21*BS21/4)*(BP21^2-BQ21^2))*BT21</f>
        <v>0.64686667168652401</v>
      </c>
      <c r="BV21" s="257">
        <f>(((BU21/386.4)*(BP21^2+BQ21^2))/8)</f>
        <v>2.8618035390464776E-3</v>
      </c>
      <c r="BW21" s="257" t="e">
        <f ca="1">Ratio</f>
        <v>#N/A</v>
      </c>
      <c r="BX21" s="257" t="e">
        <f ca="1">(BV21/(BW21^2))</f>
        <v>#N/A</v>
      </c>
      <c r="BZ21" s="250" t="s">
        <v>597</v>
      </c>
      <c r="CA21" s="251">
        <v>3.1875</v>
      </c>
      <c r="CB21" s="251">
        <v>1</v>
      </c>
      <c r="CC21" s="251">
        <v>0.438</v>
      </c>
      <c r="CD21" s="251">
        <v>0.28299999999999997</v>
      </c>
      <c r="CE21" s="257">
        <v>1</v>
      </c>
      <c r="CF21" s="585">
        <f>((PI()*CC21*CD21/4)*(CA21^2-CB21^2))*CE21</f>
        <v>0.89177092598759489</v>
      </c>
      <c r="CG21" s="257">
        <f>(((CF21/386.4)*(CA21^2+CB21^2))/8)</f>
        <v>3.2195596768985328E-3</v>
      </c>
      <c r="CH21" s="257" t="e">
        <f ca="1">Ratio</f>
        <v>#N/A</v>
      </c>
      <c r="CI21" s="257" t="e">
        <f ca="1">(CG21/(CH21^2))</f>
        <v>#N/A</v>
      </c>
      <c r="CK21" s="250" t="s">
        <v>1032</v>
      </c>
      <c r="CL21" s="251">
        <v>14.382999999999999</v>
      </c>
      <c r="CM21" s="251">
        <v>13.2</v>
      </c>
      <c r="CN21" s="251">
        <v>2.38</v>
      </c>
      <c r="CO21" s="251">
        <v>0.28299999999999997</v>
      </c>
      <c r="CP21" s="257">
        <v>1</v>
      </c>
      <c r="CQ21" s="585">
        <f>((PI()*CN21*CO21/4)*(CL21^2-CM21^2))*CP21</f>
        <v>17.261539165932433</v>
      </c>
      <c r="CR21" s="257">
        <f>(((CQ21/386.4)*(CL21^2+CM21^2))/8)</f>
        <v>2.1281564068093277</v>
      </c>
      <c r="CS21" s="257" t="e">
        <f ca="1">Ratio</f>
        <v>#N/A</v>
      </c>
      <c r="CT21" s="257" t="e">
        <f ca="1">(CR21/(CS21^2))</f>
        <v>#N/A</v>
      </c>
      <c r="CV21" s="250"/>
      <c r="CW21" s="257"/>
      <c r="CX21" s="339"/>
      <c r="CY21" s="339"/>
      <c r="CZ21" s="257"/>
      <c r="DA21" s="257"/>
      <c r="DB21" s="435"/>
      <c r="DC21" s="254"/>
      <c r="DD21" s="255"/>
      <c r="DE21" s="256"/>
      <c r="DG21" s="250" t="s">
        <v>593</v>
      </c>
      <c r="DH21" s="339">
        <v>3.13</v>
      </c>
      <c r="DI21" s="339">
        <v>1.75</v>
      </c>
      <c r="DJ21" s="339">
        <v>2</v>
      </c>
      <c r="DK21" s="254">
        <v>0.28299999999999997</v>
      </c>
      <c r="DL21" s="257">
        <v>2</v>
      </c>
      <c r="DM21" s="585">
        <f>((PI()*DJ21*DK21/4)*(DH21^2-DI21^2))*DL21</f>
        <v>5.9873578632728321</v>
      </c>
      <c r="DN21" s="257">
        <f>(((DM21/386.4)*(DH21^2+DI21^2))/8)</f>
        <v>2.4907424206447547E-2</v>
      </c>
      <c r="DO21" s="257" t="e">
        <f ca="1">(DH20/DH17)*Ratio</f>
        <v>#N/A</v>
      </c>
      <c r="DP21" s="257" t="e">
        <f ca="1">(DN21/(DO21^2))</f>
        <v>#N/A</v>
      </c>
      <c r="DR21" s="250" t="s">
        <v>604</v>
      </c>
      <c r="DS21" s="341">
        <v>5.33</v>
      </c>
      <c r="DT21" s="341">
        <v>2</v>
      </c>
      <c r="DU21" s="342">
        <v>1.75</v>
      </c>
      <c r="DV21" s="251">
        <v>0.28299999999999997</v>
      </c>
      <c r="DW21" s="257">
        <v>2</v>
      </c>
      <c r="DX21" s="585">
        <f>((PI()*DU21*DV21/4)*(DS21^2-DT21^2))*DW21</f>
        <v>18.988583530861728</v>
      </c>
      <c r="DY21" s="257">
        <f>(((DX21/386.4)*(DS21^2+DT21^2))/8)</f>
        <v>0.19908097334153232</v>
      </c>
      <c r="DZ21" s="258" t="e">
        <f ca="1">($DS$18/$DS$21)*Ratio</f>
        <v>#N/A</v>
      </c>
      <c r="EA21" s="257" t="e">
        <f ca="1">(DY21/(DZ21^2))</f>
        <v>#N/A</v>
      </c>
      <c r="EC21" s="250" t="s">
        <v>604</v>
      </c>
      <c r="ED21" s="341">
        <v>6.33</v>
      </c>
      <c r="EE21" s="341">
        <v>1.75</v>
      </c>
      <c r="EF21" s="342">
        <v>2</v>
      </c>
      <c r="EG21" s="251">
        <v>0.28299999999999997</v>
      </c>
      <c r="EH21" s="257">
        <v>2</v>
      </c>
      <c r="EI21" s="585">
        <f>((PI()*EF21*EG21/4)*(ED21^2-EE21^2))*EH21</f>
        <v>32.9013067283529</v>
      </c>
      <c r="EJ21" s="257">
        <f>(((EI21/386.4)*(ED21^2+EE21^2))/8)</f>
        <v>0.45907072367471541</v>
      </c>
      <c r="EK21" s="258" t="e">
        <f ca="1">(ED21/ED18)*Ratio</f>
        <v>#N/A</v>
      </c>
      <c r="EL21" s="257" t="e">
        <f ca="1">(EJ21/(EK21^2))</f>
        <v>#N/A</v>
      </c>
    </row>
    <row r="22" spans="1:142" ht="15.75" x14ac:dyDescent="0.25">
      <c r="A22" s="250" t="s">
        <v>605</v>
      </c>
      <c r="B22" s="251">
        <v>1.879</v>
      </c>
      <c r="C22" s="251">
        <v>0.875</v>
      </c>
      <c r="D22" s="251">
        <v>1.28</v>
      </c>
      <c r="E22" s="251">
        <v>0.28299999999999997</v>
      </c>
      <c r="F22" s="257">
        <v>1</v>
      </c>
      <c r="G22" s="585">
        <f>((PI()*D22*E22/4)*(B22^2-C22^2))*F22</f>
        <v>0.78665432595272977</v>
      </c>
      <c r="H22" s="257">
        <f>(((G22/386.4)*(B22^2+C22^2))/8)</f>
        <v>1.0933217631805224E-3</v>
      </c>
      <c r="I22" s="257">
        <f>IF(I32=0,1,I32)</f>
        <v>1</v>
      </c>
      <c r="J22" s="257">
        <f>(H22/(I22^2))</f>
        <v>1.0933217631805224E-3</v>
      </c>
      <c r="L22" s="250" t="s">
        <v>605</v>
      </c>
      <c r="M22" s="251">
        <v>1.879</v>
      </c>
      <c r="N22" s="251">
        <v>0.625</v>
      </c>
      <c r="O22" s="251">
        <v>1.28</v>
      </c>
      <c r="P22" s="251">
        <v>0.28299999999999997</v>
      </c>
      <c r="Q22" s="257">
        <v>1</v>
      </c>
      <c r="R22" s="585">
        <f>((PI()*P22*O22/4)*(M22^2-N22^2))*Q22</f>
        <v>0.89334281246863922</v>
      </c>
      <c r="S22" s="257">
        <f>(((R22/386.4)*(M22^2+N22^2))/8)</f>
        <v>1.1332281304599027E-3</v>
      </c>
      <c r="T22" s="257">
        <f>IF(T32=0,1,T32)</f>
        <v>1</v>
      </c>
      <c r="U22" s="257">
        <f>(S22/(T22^2))</f>
        <v>1.1332281304599027E-3</v>
      </c>
      <c r="W22" s="250" t="s">
        <v>1035</v>
      </c>
      <c r="X22" s="251">
        <v>2.1875</v>
      </c>
      <c r="Y22" s="251">
        <v>1.25</v>
      </c>
      <c r="Z22" s="251">
        <v>0.875</v>
      </c>
      <c r="AA22" s="251">
        <v>0.28299999999999997</v>
      </c>
      <c r="AB22" s="257">
        <v>1</v>
      </c>
      <c r="AC22" s="585">
        <f>((PI()*Z22*AA22/4)*(X22^2-Y22^2))*AB22</f>
        <v>0.62675578779030006</v>
      </c>
      <c r="AD22" s="257">
        <f>(((AC22/386.4)*(X22^2+Y22^2))/8)</f>
        <v>1.2870180815187538E-3</v>
      </c>
      <c r="AE22" s="257" t="e">
        <f ca="1">Ratio</f>
        <v>#N/A</v>
      </c>
      <c r="AF22" s="257" t="e">
        <f ca="1">(AD22/(AE22^2))</f>
        <v>#N/A</v>
      </c>
      <c r="AH22" s="250" t="s">
        <v>1035</v>
      </c>
      <c r="AI22" s="251">
        <v>2.1875</v>
      </c>
      <c r="AJ22" s="251">
        <v>1.25</v>
      </c>
      <c r="AK22" s="251">
        <v>0.875</v>
      </c>
      <c r="AL22" s="251">
        <v>0.28299999999999997</v>
      </c>
      <c r="AM22" s="257">
        <v>1</v>
      </c>
      <c r="AN22" s="585">
        <f>((PI()*AK22*AL22/4)*(AI22^2-AJ22^2))*AM22</f>
        <v>0.62675578779030006</v>
      </c>
      <c r="AO22" s="257">
        <f>(((AN22/386.4)*(AI22^2+AJ22^2))/8)</f>
        <v>1.2870180815187538E-3</v>
      </c>
      <c r="AP22" s="257" t="e">
        <f ca="1">Ratio</f>
        <v>#N/A</v>
      </c>
      <c r="AQ22" s="257" t="e">
        <f ca="1">(AO22/(AP22^2))</f>
        <v>#N/A</v>
      </c>
      <c r="AS22" s="250" t="s">
        <v>606</v>
      </c>
      <c r="AT22" s="251">
        <v>2.1880000000000002</v>
      </c>
      <c r="AU22" s="251">
        <v>1.25</v>
      </c>
      <c r="AV22" s="251">
        <v>0.875</v>
      </c>
      <c r="AW22" s="251">
        <v>0.28299999999999997</v>
      </c>
      <c r="AX22" s="257">
        <v>1</v>
      </c>
      <c r="AY22" s="585">
        <f>((PI()*AV22*AW22/4)*(AT22^2-AU22^2))*AX22</f>
        <v>0.6271812706430675</v>
      </c>
      <c r="AZ22" s="257">
        <f>(((AY22/386.4)*(AT22^2+AU22^2))/8)</f>
        <v>1.2883356716826019E-3</v>
      </c>
      <c r="BA22" s="257" t="e">
        <f ca="1">Ratio</f>
        <v>#N/A</v>
      </c>
      <c r="BB22" s="257" t="e">
        <f ca="1">(AZ22/(BA22^2))</f>
        <v>#N/A</v>
      </c>
      <c r="BD22" s="250" t="s">
        <v>606</v>
      </c>
      <c r="BE22" s="251">
        <v>2.1880000000000002</v>
      </c>
      <c r="BF22" s="251">
        <v>1.875</v>
      </c>
      <c r="BG22" s="251">
        <v>0.875</v>
      </c>
      <c r="BH22" s="251">
        <v>0.28299999999999997</v>
      </c>
      <c r="BI22" s="257">
        <v>1</v>
      </c>
      <c r="BJ22" s="585">
        <f>((PI()*BG22*BH22/4)*(BE22^2-BF22^2))*BI22</f>
        <v>0.24732927804288565</v>
      </c>
      <c r="BK22" s="257">
        <f>(((BJ22/386.4)*(BE22^2+BF22^2))/8)</f>
        <v>6.6432690488563042E-4</v>
      </c>
      <c r="BL22" s="257" t="e">
        <f ca="1">Ratio</f>
        <v>#N/A</v>
      </c>
      <c r="BM22" s="257" t="e">
        <f ca="1">(BK22/(BL22^2))</f>
        <v>#N/A</v>
      </c>
      <c r="BO22" s="250" t="s">
        <v>607</v>
      </c>
      <c r="BP22" s="251">
        <v>2.1875</v>
      </c>
      <c r="BQ22" s="251">
        <v>1.875</v>
      </c>
      <c r="BR22" s="251">
        <v>0.875</v>
      </c>
      <c r="BS22" s="251">
        <v>0.28299999999999997</v>
      </c>
      <c r="BT22" s="257">
        <v>1</v>
      </c>
      <c r="BU22" s="585">
        <f>((PI()*BR22*BS22/4)*(BP22^2-BQ22^2))*BT22</f>
        <v>0.24690379519011821</v>
      </c>
      <c r="BV22" s="257">
        <f>(((BU22/386.4)*(BP22^2+BQ22^2))/8)</f>
        <v>6.6300931472178237E-4</v>
      </c>
      <c r="BW22" s="257" t="e">
        <f ca="1">Ratio</f>
        <v>#N/A</v>
      </c>
      <c r="BX22" s="257" t="e">
        <f ca="1">(BV22/(BW22^2))</f>
        <v>#N/A</v>
      </c>
      <c r="BZ22" s="250" t="s">
        <v>1036</v>
      </c>
      <c r="CA22" s="251">
        <v>2.1875</v>
      </c>
      <c r="CB22" s="251">
        <v>1</v>
      </c>
      <c r="CC22" s="251">
        <v>0.875</v>
      </c>
      <c r="CD22" s="251">
        <v>0.28299999999999997</v>
      </c>
      <c r="CE22" s="257">
        <v>1</v>
      </c>
      <c r="CF22" s="585">
        <f>((PI()*CC22*CD22/4)*(CA22^2-CB22^2))*CE22</f>
        <v>0.73615316165915246</v>
      </c>
      <c r="CG22" s="257">
        <f>(((CF22/386.4)*(CA22^2+CB22^2))/8)</f>
        <v>1.3777047955906142E-3</v>
      </c>
      <c r="CH22" s="257" t="e">
        <f ca="1">Ratio</f>
        <v>#N/A</v>
      </c>
      <c r="CI22" s="257" t="e">
        <f ca="1">(CG22/(CH22^2))</f>
        <v>#N/A</v>
      </c>
      <c r="CK22" s="250" t="s">
        <v>608</v>
      </c>
      <c r="CL22" s="251">
        <v>13.2</v>
      </c>
      <c r="CM22" s="251">
        <v>3.8340000000000001</v>
      </c>
      <c r="CN22" s="251">
        <v>2.375</v>
      </c>
      <c r="CO22" s="251">
        <v>0.28299999999999997</v>
      </c>
      <c r="CP22" s="257">
        <v>1</v>
      </c>
      <c r="CQ22" s="585">
        <f>((PI()*CN22*CO22/4)*(CL22^2-CM22^2))*CP22</f>
        <v>84.219125432366567</v>
      </c>
      <c r="CR22" s="257">
        <f>(((CQ22/386.4)*(CL22^2+CM22^2))/8)</f>
        <v>5.1476203952832709</v>
      </c>
      <c r="CS22" s="257" t="e">
        <f ca="1">Ratio</f>
        <v>#N/A</v>
      </c>
      <c r="CT22" s="257" t="e">
        <f ca="1">(CR22/(CS22^2))</f>
        <v>#N/A</v>
      </c>
      <c r="CV22" s="250" t="s">
        <v>587</v>
      </c>
      <c r="CW22" s="255">
        <v>9.7200000000000006</v>
      </c>
      <c r="CX22" s="339">
        <v>8.19</v>
      </c>
      <c r="CY22" s="339">
        <v>3.31</v>
      </c>
      <c r="CZ22" s="251">
        <v>0.28299999999999997</v>
      </c>
      <c r="DA22" s="257">
        <v>1</v>
      </c>
      <c r="DB22" s="585">
        <f>((PI()*CY22*CZ22/4)*(CW22^2-CX22^2))*DA22</f>
        <v>20.160037115670278</v>
      </c>
      <c r="DC22" s="257">
        <f>(((DB22/386.4)*(CW22^2+CX22^2))/8)</f>
        <v>1.0536182441134687</v>
      </c>
      <c r="DD22" s="257" t="e">
        <f ca="1">Ratio</f>
        <v>#N/A</v>
      </c>
      <c r="DE22" s="257" t="e">
        <f ca="1">(DC22/(DD22^2))</f>
        <v>#N/A</v>
      </c>
      <c r="DG22" s="250"/>
      <c r="DH22" s="339"/>
      <c r="DI22" s="339"/>
      <c r="DJ22" s="339"/>
      <c r="DK22" s="254"/>
      <c r="DL22" s="245"/>
      <c r="DM22" s="435"/>
      <c r="DN22" s="254"/>
      <c r="DO22" s="255"/>
      <c r="DP22" s="256"/>
      <c r="DR22" s="250" t="s">
        <v>593</v>
      </c>
      <c r="DS22" s="341">
        <v>3.13</v>
      </c>
      <c r="DT22" s="341">
        <v>2</v>
      </c>
      <c r="DU22" s="342">
        <v>1.75</v>
      </c>
      <c r="DV22" s="251">
        <v>0.28299999999999997</v>
      </c>
      <c r="DW22" s="257">
        <v>2</v>
      </c>
      <c r="DX22" s="585">
        <f>((PI()*DU22*DV22/4)*(DS22^2-DT22^2))*DW22</f>
        <v>4.509622304571379</v>
      </c>
      <c r="DY22" s="257">
        <f>(((DX22/386.4)*(DS22^2+DT22^2))/8)</f>
        <v>2.0127719970865963E-2</v>
      </c>
      <c r="DZ22" s="258" t="e">
        <f ca="1">($DS$18/$DS$21)*Ratio</f>
        <v>#N/A</v>
      </c>
      <c r="EA22" s="257" t="e">
        <f ca="1">(DY22/(DZ22^2))</f>
        <v>#N/A</v>
      </c>
      <c r="EC22" s="250" t="s">
        <v>593</v>
      </c>
      <c r="ED22" s="341">
        <v>3.38</v>
      </c>
      <c r="EE22" s="341">
        <v>1.75</v>
      </c>
      <c r="EF22" s="342">
        <v>1.5</v>
      </c>
      <c r="EG22" s="251">
        <v>0.28299999999999997</v>
      </c>
      <c r="EH22" s="257">
        <v>2</v>
      </c>
      <c r="EI22" s="585">
        <f>((PI()*EF22*EG22/4)*(ED22^2-EE22^2))*EH22</f>
        <v>5.5757403462336397</v>
      </c>
      <c r="EJ22" s="257">
        <f>(((EI22/386.4)*(ED22^2+EE22^2))/8)</f>
        <v>2.6130691259657127E-2</v>
      </c>
      <c r="EK22" s="258" t="e">
        <f ca="1">(ED21/ED18)*Ratio</f>
        <v>#N/A</v>
      </c>
      <c r="EL22" s="257" t="e">
        <f ca="1">(EJ22/(EK22^2))</f>
        <v>#N/A</v>
      </c>
    </row>
    <row r="23" spans="1:142" ht="15.75" x14ac:dyDescent="0.25">
      <c r="A23" s="250" t="s">
        <v>609</v>
      </c>
      <c r="B23" s="251">
        <v>1.19</v>
      </c>
      <c r="C23" s="251">
        <v>0.875</v>
      </c>
      <c r="D23" s="251">
        <v>0.42</v>
      </c>
      <c r="E23" s="251">
        <v>0.28299999999999997</v>
      </c>
      <c r="F23" s="257">
        <v>1</v>
      </c>
      <c r="G23" s="585">
        <f>((PI()*D23*E23/4)*(B23^2-C23^2))*F23</f>
        <v>6.0723419108131615E-2</v>
      </c>
      <c r="H23" s="257">
        <f>(((G23/386.4)*(B23^2+C23^2))/8)</f>
        <v>4.2857725657896118E-5</v>
      </c>
      <c r="I23" s="257">
        <f>IF(I32=0,1,I32)</f>
        <v>1</v>
      </c>
      <c r="J23" s="257">
        <f>(H23/(I23^2))</f>
        <v>4.2857725657896118E-5</v>
      </c>
      <c r="L23" s="250" t="s">
        <v>609</v>
      </c>
      <c r="M23" s="251">
        <v>1.19</v>
      </c>
      <c r="N23" s="251">
        <v>0.625</v>
      </c>
      <c r="O23" s="251">
        <v>0.42</v>
      </c>
      <c r="P23" s="251">
        <v>0.28299999999999997</v>
      </c>
      <c r="Q23" s="257">
        <v>1</v>
      </c>
      <c r="R23" s="585">
        <f>((PI()*P23*O23/4)*(M23^2-N23^2))*Q23</f>
        <v>9.5730578746164377E-2</v>
      </c>
      <c r="S23" s="257">
        <f>(((R23/386.4)*(M23^2+N23^2))/8)</f>
        <v>5.5952002421442755E-5</v>
      </c>
      <c r="T23" s="257">
        <f>IF(T32=0,1,T32)</f>
        <v>1</v>
      </c>
      <c r="U23" s="257">
        <f>(S23/(T23^2))</f>
        <v>5.5952002421442755E-5</v>
      </c>
      <c r="W23" s="250"/>
      <c r="X23" s="251"/>
      <c r="Y23" s="251"/>
      <c r="Z23" s="251"/>
      <c r="AA23" s="251"/>
      <c r="AB23" s="245"/>
      <c r="AC23" s="429"/>
      <c r="AD23" s="254"/>
      <c r="AE23" s="245"/>
      <c r="AF23" s="256"/>
      <c r="AH23" s="250"/>
      <c r="AI23" s="251"/>
      <c r="AJ23" s="251"/>
      <c r="AK23" s="251"/>
      <c r="AL23" s="251"/>
      <c r="AM23" s="245"/>
      <c r="AN23" s="429"/>
      <c r="AO23" s="254"/>
      <c r="AP23" s="245"/>
      <c r="AQ23" s="245"/>
      <c r="AS23" s="250"/>
      <c r="AT23" s="251"/>
      <c r="AU23" s="251"/>
      <c r="AV23" s="251"/>
      <c r="AW23" s="251"/>
      <c r="AX23" s="245"/>
      <c r="AY23" s="429"/>
      <c r="AZ23" s="254"/>
      <c r="BA23" s="251"/>
      <c r="BB23" s="256"/>
      <c r="BD23" s="250"/>
      <c r="BE23" s="251"/>
      <c r="BF23" s="251"/>
      <c r="BG23" s="251"/>
      <c r="BH23" s="251"/>
      <c r="BI23" s="245"/>
      <c r="BJ23" s="429"/>
      <c r="BK23" s="254"/>
      <c r="BL23" s="251"/>
      <c r="BM23" s="245"/>
      <c r="BO23" s="250"/>
      <c r="BP23" s="251"/>
      <c r="BQ23" s="251"/>
      <c r="BS23" s="251"/>
      <c r="BT23" s="245"/>
      <c r="BU23" s="429"/>
      <c r="BV23" s="254"/>
      <c r="BW23" s="245"/>
      <c r="BX23" s="245"/>
      <c r="BZ23" s="250"/>
      <c r="CA23" s="251"/>
      <c r="CB23" s="251"/>
      <c r="CC23" s="251"/>
      <c r="CD23" s="251"/>
      <c r="CE23" s="245"/>
      <c r="CF23" s="429"/>
      <c r="CG23" s="254"/>
      <c r="CH23" s="245"/>
      <c r="CI23" s="245"/>
      <c r="CK23" s="250"/>
      <c r="CL23" s="251"/>
      <c r="CM23" s="251"/>
      <c r="CN23" s="251"/>
      <c r="CO23" s="251"/>
      <c r="CP23" s="257"/>
      <c r="CQ23" s="429"/>
      <c r="CR23" s="254"/>
      <c r="CS23" s="255"/>
      <c r="CT23" s="256"/>
      <c r="CV23" s="250" t="s">
        <v>1037</v>
      </c>
      <c r="CW23" s="257">
        <v>8.19</v>
      </c>
      <c r="CX23" s="339">
        <v>4.4400000000000004</v>
      </c>
      <c r="CY23" s="339">
        <v>2.5</v>
      </c>
      <c r="CZ23" s="257">
        <v>0.28299999999999997</v>
      </c>
      <c r="DA23" s="257">
        <v>1</v>
      </c>
      <c r="DB23" s="585">
        <f>((PI()*CY23*CZ23/4)*(CW23^2-CX23^2))*DA23</f>
        <v>26.317882513592487</v>
      </c>
      <c r="DC23" s="257">
        <f>(((DB23/386.4)*(CW23^2+CX23^2))/8)</f>
        <v>0.73891082039011968</v>
      </c>
      <c r="DD23" s="257" t="e">
        <f ca="1">Ratio</f>
        <v>#N/A</v>
      </c>
      <c r="DE23" s="257" t="e">
        <f ca="1">(DC23/(DD23^2))</f>
        <v>#N/A</v>
      </c>
      <c r="DG23" s="250" t="s">
        <v>1032</v>
      </c>
      <c r="DH23" s="339">
        <v>9.7200000000000006</v>
      </c>
      <c r="DI23" s="339">
        <v>8.19</v>
      </c>
      <c r="DJ23" s="339">
        <v>3.31</v>
      </c>
      <c r="DK23" s="254">
        <v>0.28299999999999997</v>
      </c>
      <c r="DL23" s="257">
        <v>1</v>
      </c>
      <c r="DM23" s="585">
        <f>((PI()*DJ23*DK23/4)*(DH23^2-DI23^2))*DL23</f>
        <v>20.160037115670278</v>
      </c>
      <c r="DN23" s="257">
        <f>(((DM23/386.4)*(DH23^2+DI23^2))/8)</f>
        <v>1.0536182441134687</v>
      </c>
      <c r="DO23" s="257" t="e">
        <f ca="1">Ratio</f>
        <v>#N/A</v>
      </c>
      <c r="DP23" s="257" t="e">
        <f ca="1">(DN23/(DO23^2))</f>
        <v>#N/A</v>
      </c>
      <c r="DR23" s="250"/>
      <c r="DS23" s="258"/>
      <c r="DT23" s="258"/>
      <c r="DU23" s="258"/>
      <c r="DV23" s="245"/>
      <c r="DW23" s="245"/>
      <c r="DX23" s="435"/>
      <c r="DY23" s="254"/>
      <c r="DZ23" s="341"/>
      <c r="EA23" s="256"/>
      <c r="EC23" s="250"/>
      <c r="ED23" s="258"/>
      <c r="EE23" s="258"/>
      <c r="EF23" s="258"/>
      <c r="EG23" s="245"/>
      <c r="EH23" s="245"/>
      <c r="EI23" s="435"/>
      <c r="EJ23" s="254"/>
      <c r="EK23" s="341"/>
      <c r="EL23" s="256"/>
    </row>
    <row r="24" spans="1:142" ht="15.75" x14ac:dyDescent="0.25">
      <c r="A24" s="250"/>
      <c r="B24" s="251"/>
      <c r="C24" s="251"/>
      <c r="D24" s="251"/>
      <c r="E24" s="251"/>
      <c r="F24" s="245"/>
      <c r="G24" s="429"/>
      <c r="H24" s="254"/>
      <c r="I24" s="245"/>
      <c r="J24" s="245"/>
      <c r="L24" s="250"/>
      <c r="M24" s="251"/>
      <c r="N24" s="251"/>
      <c r="O24" s="251"/>
      <c r="P24" s="251"/>
      <c r="Q24" s="245"/>
      <c r="R24" s="429"/>
      <c r="S24" s="254"/>
      <c r="T24" s="245"/>
      <c r="U24" s="245"/>
      <c r="W24" s="250" t="s">
        <v>1038</v>
      </c>
      <c r="X24" s="251">
        <v>3.15</v>
      </c>
      <c r="Y24" s="251">
        <v>1.57</v>
      </c>
      <c r="Z24" s="251">
        <v>0.35</v>
      </c>
      <c r="AA24" s="251">
        <v>0.28299999999999997</v>
      </c>
      <c r="AB24" s="257">
        <v>1</v>
      </c>
      <c r="AC24" s="585">
        <f>((PI()*Z24*AA24/4)*(X24^2-Y24^2))*AB24</f>
        <v>0.58015420825909569</v>
      </c>
      <c r="AD24" s="257">
        <f>(((AC24/386.4)*(X24^2+Y24^2))/8)</f>
        <v>2.3248583848954197E-3</v>
      </c>
      <c r="AE24" s="257">
        <f>IF(AE32=0,1,AE32)</f>
        <v>1</v>
      </c>
      <c r="AF24" s="257">
        <f>(AD24/(AE24^2))</f>
        <v>2.3248583848954197E-3</v>
      </c>
      <c r="AH24" s="250" t="s">
        <v>1038</v>
      </c>
      <c r="AI24" s="251">
        <v>3.15</v>
      </c>
      <c r="AJ24" s="251">
        <v>1.57</v>
      </c>
      <c r="AK24" s="251">
        <v>0.35</v>
      </c>
      <c r="AL24" s="251">
        <v>0.28299999999999997</v>
      </c>
      <c r="AM24" s="257">
        <v>1</v>
      </c>
      <c r="AN24" s="585">
        <f>((PI()*AK24*AL24/4)*(AI24^2-AJ24^2))*AM24</f>
        <v>0.58015420825909569</v>
      </c>
      <c r="AO24" s="257">
        <f>(((AN24/386.4)*(AI24^2+AJ24^2))/8)</f>
        <v>2.3248583848954197E-3</v>
      </c>
      <c r="AP24" s="257">
        <f>IF(AP32=0,1,AP32)</f>
        <v>1</v>
      </c>
      <c r="AQ24" s="257">
        <f>(AO24/(AP24^2))</f>
        <v>2.3248583848954197E-3</v>
      </c>
      <c r="AS24" s="250" t="s">
        <v>605</v>
      </c>
      <c r="AT24" s="251">
        <v>3.15</v>
      </c>
      <c r="AU24" s="251">
        <v>1.57</v>
      </c>
      <c r="AV24" s="251">
        <v>0.35</v>
      </c>
      <c r="AW24" s="251">
        <v>0.28299999999999997</v>
      </c>
      <c r="AX24" s="257">
        <v>1</v>
      </c>
      <c r="AY24" s="585">
        <f>((PI()*AV24*AW24/4)*(AT24^2-AU24^2))*AX24</f>
        <v>0.58015420825909569</v>
      </c>
      <c r="AZ24" s="257">
        <f>(((AY24/386.4)*(AT24^2+AU24^2))/8)</f>
        <v>2.3248583848954197E-3</v>
      </c>
      <c r="BA24" s="257">
        <f>IF(BA34=0,1,BA34)</f>
        <v>1</v>
      </c>
      <c r="BB24" s="257">
        <f>(AZ24/(BA24^2))</f>
        <v>2.3248583848954197E-3</v>
      </c>
      <c r="BD24" s="250" t="s">
        <v>1038</v>
      </c>
      <c r="BE24" s="251">
        <v>2.7549999999999999</v>
      </c>
      <c r="BF24" s="251">
        <v>2</v>
      </c>
      <c r="BG24" s="251">
        <v>1.2</v>
      </c>
      <c r="BH24" s="251">
        <v>0.28299999999999997</v>
      </c>
      <c r="BI24" s="257">
        <v>1</v>
      </c>
      <c r="BJ24" s="585">
        <f>((PI()*BG24*BH24/4)*(BE24^2-BF24^2))*BI24</f>
        <v>0.95753583451069368</v>
      </c>
      <c r="BK24" s="257">
        <f>(((BJ24/386.4)*(BE24^2+BF24^2))/8)</f>
        <v>3.5901475997589297E-3</v>
      </c>
      <c r="BL24" s="257">
        <f>IF(BL34=0,1,BL34)</f>
        <v>1</v>
      </c>
      <c r="BM24" s="257">
        <f>(BK24/(BL24^2))</f>
        <v>3.5901475997589297E-3</v>
      </c>
      <c r="BO24" s="250" t="s">
        <v>1038</v>
      </c>
      <c r="BP24" s="251">
        <v>2.8069999999999999</v>
      </c>
      <c r="BQ24" s="251">
        <v>2.75</v>
      </c>
      <c r="BR24" s="251">
        <v>1.22</v>
      </c>
      <c r="BS24" s="251">
        <v>0.28299999999999997</v>
      </c>
      <c r="BT24" s="257">
        <v>1</v>
      </c>
      <c r="BU24" s="585">
        <f>((PI()*BR24*BS24/4)*(BP24^2-BQ24^2))*BT24</f>
        <v>8.5891739847545528E-2</v>
      </c>
      <c r="BV24" s="257">
        <f>(((BU24/386.4)*(BP24^2+BQ24^2))/8)</f>
        <v>4.2906272253464558E-4</v>
      </c>
      <c r="BW24" s="257">
        <f>IF(BW34=0,1,BW34)</f>
        <v>1</v>
      </c>
      <c r="BX24" s="257">
        <f>(BV24/(BW24^2))</f>
        <v>4.2906272253464558E-4</v>
      </c>
      <c r="BZ24" s="250" t="s">
        <v>605</v>
      </c>
      <c r="CA24" s="251">
        <v>5.5940000000000003</v>
      </c>
      <c r="CB24" s="251">
        <v>4.88</v>
      </c>
      <c r="CC24" s="251">
        <v>1.28</v>
      </c>
      <c r="CD24" s="251">
        <v>0.28299999999999997</v>
      </c>
      <c r="CE24" s="257">
        <v>1</v>
      </c>
      <c r="CF24" s="585">
        <f>((PI()*CC24*CD24/4)*(CA24^2-CB24^2))*CE24</f>
        <v>2.1276347155895783</v>
      </c>
      <c r="CG24" s="257">
        <f>(((CF24/386.4)*(CA24^2+CB24^2))/8)</f>
        <v>3.7929628750578342E-2</v>
      </c>
      <c r="CH24" s="257" t="e">
        <f ca="1">Ratio</f>
        <v>#N/A</v>
      </c>
      <c r="CI24" s="257" t="e">
        <f ca="1">(CG24/(CH24^2))</f>
        <v>#N/A</v>
      </c>
      <c r="CK24" s="250" t="s">
        <v>1039</v>
      </c>
      <c r="CL24" s="251">
        <v>6</v>
      </c>
      <c r="CM24" s="251">
        <v>1.5</v>
      </c>
      <c r="CN24" s="251">
        <v>0.75</v>
      </c>
      <c r="CO24" s="251">
        <v>0.28299999999999997</v>
      </c>
      <c r="CP24" s="257">
        <v>1</v>
      </c>
      <c r="CQ24" s="585">
        <f>((PI()*CN24*CO24/4)*(CL24^2-CM24^2))*CP24</f>
        <v>5.6261506561124079</v>
      </c>
      <c r="CR24" s="257">
        <f>(((CQ24/386.4)*(CL24^2+CM24^2))/8)</f>
        <v>6.9617062175303973E-2</v>
      </c>
      <c r="CS24" s="257" t="e">
        <f ca="1">Ratio</f>
        <v>#N/A</v>
      </c>
      <c r="CT24" s="257" t="e">
        <f ca="1">(CR24/(CS24^2))</f>
        <v>#N/A</v>
      </c>
      <c r="CV24" s="250">
        <v>-68</v>
      </c>
      <c r="CW24" s="257">
        <v>6.63</v>
      </c>
      <c r="CX24" s="339">
        <v>2</v>
      </c>
      <c r="CY24" s="339">
        <v>1</v>
      </c>
      <c r="CZ24" s="257">
        <v>0.28299999999999997</v>
      </c>
      <c r="DA24" s="257">
        <v>1</v>
      </c>
      <c r="DB24" s="585">
        <f>((PI()*CY24*CZ24/4)*(CW24^2-CX24^2))*DA24</f>
        <v>8.8811274726407046</v>
      </c>
      <c r="DC24" s="257">
        <f>(((DB24/386.4)*(CW24^2+CX24^2))/8)</f>
        <v>0.13778187826497251</v>
      </c>
      <c r="DD24" s="257" t="e">
        <f ca="1">Ratio</f>
        <v>#N/A</v>
      </c>
      <c r="DE24" s="257" t="e">
        <f ca="1">(DC24/(DD24^2))</f>
        <v>#N/A</v>
      </c>
      <c r="DG24" s="250" t="s">
        <v>1040</v>
      </c>
      <c r="DH24" s="339">
        <v>8.19</v>
      </c>
      <c r="DI24" s="339">
        <v>4.4400000000000004</v>
      </c>
      <c r="DJ24" s="339">
        <v>2.5</v>
      </c>
      <c r="DK24" s="254">
        <v>0.28299999999999997</v>
      </c>
      <c r="DL24" s="257">
        <v>1</v>
      </c>
      <c r="DM24" s="585">
        <f>((PI()*DJ24*DK24/4)*(DH24^2-DI24^2))*DL24</f>
        <v>26.317882513592487</v>
      </c>
      <c r="DN24" s="257">
        <f>(((DM24/386.4)*(DH24^2+DI24^2))/8)</f>
        <v>0.73891082039011968</v>
      </c>
      <c r="DO24" s="257" t="e">
        <f ca="1">Ratio</f>
        <v>#N/A</v>
      </c>
      <c r="DP24" s="257" t="e">
        <f ca="1">(DN24/(DO24^2))</f>
        <v>#N/A</v>
      </c>
      <c r="DR24" s="250" t="s">
        <v>1038</v>
      </c>
      <c r="DS24" s="341">
        <v>9.3000000000000007</v>
      </c>
      <c r="DT24" s="341">
        <v>2</v>
      </c>
      <c r="DU24" s="258">
        <v>3.31</v>
      </c>
      <c r="DV24" s="251">
        <v>0.28299999999999997</v>
      </c>
      <c r="DW24" s="257">
        <v>1</v>
      </c>
      <c r="DX24" s="585">
        <f>((PI()*DU24*DV24/4)*(DS24^2-DT24^2))*DW24</f>
        <v>60.688389721725578</v>
      </c>
      <c r="DY24" s="257">
        <f>(((DX24/386.4)*(DS24^2+DT24^2))/8)</f>
        <v>1.776556801863014</v>
      </c>
      <c r="DZ24" s="258" t="e">
        <f ca="1">Ratio</f>
        <v>#N/A</v>
      </c>
      <c r="EA24" s="257" t="e">
        <f ca="1">(DY24/(DZ24^2))</f>
        <v>#N/A</v>
      </c>
      <c r="EC24" s="250" t="s">
        <v>587</v>
      </c>
      <c r="ED24" s="341">
        <v>12.445</v>
      </c>
      <c r="EE24" s="341">
        <v>3.5</v>
      </c>
      <c r="EF24" s="258">
        <v>3.31</v>
      </c>
      <c r="EG24" s="251">
        <v>0.28299999999999997</v>
      </c>
      <c r="EH24" s="257">
        <v>1</v>
      </c>
      <c r="EI24" s="585">
        <f>((PI()*EF24*EG24/4)*(ED24^2-EE24^2))*EH24</f>
        <v>104.93229684131431</v>
      </c>
      <c r="EJ24" s="257">
        <f>(((EI24/386.4)*(ED24^2+EE24^2))/8)</f>
        <v>5.6732426015148167</v>
      </c>
      <c r="EK24" s="258" t="e">
        <f ca="1">Ratio</f>
        <v>#N/A</v>
      </c>
      <c r="EL24" s="257" t="e">
        <f ca="1">(EJ24/(EK24^2))</f>
        <v>#N/A</v>
      </c>
    </row>
    <row r="25" spans="1:142" ht="15.75" x14ac:dyDescent="0.25">
      <c r="A25" s="250"/>
      <c r="B25" s="251"/>
      <c r="C25" s="251"/>
      <c r="D25" s="251"/>
      <c r="E25" s="251"/>
      <c r="F25" s="245"/>
      <c r="G25" s="429"/>
      <c r="H25" s="254"/>
      <c r="I25" s="255"/>
      <c r="J25" s="256"/>
      <c r="L25" s="250"/>
      <c r="M25" s="251"/>
      <c r="N25" s="251"/>
      <c r="O25" s="251"/>
      <c r="P25" s="251"/>
      <c r="Q25" s="245"/>
      <c r="R25" s="429"/>
      <c r="S25" s="254"/>
      <c r="T25" s="255"/>
      <c r="U25" s="256"/>
      <c r="W25" s="250" t="s">
        <v>612</v>
      </c>
      <c r="X25" s="251">
        <v>3.15</v>
      </c>
      <c r="Y25" s="251">
        <v>1.625</v>
      </c>
      <c r="Z25" s="251">
        <v>0.87</v>
      </c>
      <c r="AA25" s="251">
        <v>0.28299999999999997</v>
      </c>
      <c r="AB25" s="257">
        <v>1</v>
      </c>
      <c r="AC25" s="585">
        <f>((PI()*Z25*AA25/4)*(X25^2-Y25^2))*AB25</f>
        <v>1.4081171537308179</v>
      </c>
      <c r="AD25" s="257">
        <f>(((AC25/386.4)*(X25^2+Y25^2))/8)</f>
        <v>5.7228104997944108E-3</v>
      </c>
      <c r="AE25" s="257">
        <f>IF(AE32=0,1,AE32)</f>
        <v>1</v>
      </c>
      <c r="AF25" s="257">
        <f>(AD25/(AE25^2))</f>
        <v>5.7228104997944108E-3</v>
      </c>
      <c r="AH25" s="250" t="s">
        <v>612</v>
      </c>
      <c r="AI25" s="251">
        <v>3.15</v>
      </c>
      <c r="AJ25" s="251">
        <v>1.625</v>
      </c>
      <c r="AK25" s="251">
        <v>0.87</v>
      </c>
      <c r="AL25" s="251">
        <v>0.28299999999999997</v>
      </c>
      <c r="AM25" s="257">
        <v>1</v>
      </c>
      <c r="AN25" s="585">
        <f>((PI()*AK25*AL25/4)*(AI25^2-AJ25^2))*AM25</f>
        <v>1.4081171537308179</v>
      </c>
      <c r="AO25" s="257">
        <f>(((AN25/386.4)*(AI25^2+AJ25^2))/8)</f>
        <v>5.7228104997944108E-3</v>
      </c>
      <c r="AP25" s="257">
        <f>IF(AP32=0,1,AP32)</f>
        <v>1</v>
      </c>
      <c r="AQ25" s="257">
        <f>(AO25/(AP25^2))</f>
        <v>5.7228104997944108E-3</v>
      </c>
      <c r="AS25" s="250" t="s">
        <v>612</v>
      </c>
      <c r="AT25" s="251">
        <v>3.15</v>
      </c>
      <c r="AU25" s="251">
        <v>1.625</v>
      </c>
      <c r="AV25" s="251">
        <v>0.87</v>
      </c>
      <c r="AW25" s="251">
        <v>0.28299999999999997</v>
      </c>
      <c r="AX25" s="257">
        <v>1</v>
      </c>
      <c r="AY25" s="585">
        <f>((PI()*AV25*AW25/4)*(AT25^2-AU25^2))*AX25</f>
        <v>1.4081171537308179</v>
      </c>
      <c r="AZ25" s="257">
        <f>(((AY25/386.4)*(AT25^2+AU25^2))/8)</f>
        <v>5.7228104997944108E-3</v>
      </c>
      <c r="BA25" s="257">
        <f>IF(BA35=0,1,BA35)</f>
        <v>1</v>
      </c>
      <c r="BB25" s="257">
        <f>(AZ25/(BA25^2))</f>
        <v>5.7228104997944108E-3</v>
      </c>
      <c r="BD25" s="250" t="s">
        <v>612</v>
      </c>
      <c r="BE25" s="251">
        <v>2</v>
      </c>
      <c r="BF25" s="251">
        <v>1.871</v>
      </c>
      <c r="BG25" s="251">
        <v>0.68</v>
      </c>
      <c r="BH25" s="251">
        <v>0.28299999999999997</v>
      </c>
      <c r="BI25" s="257">
        <v>1</v>
      </c>
      <c r="BJ25" s="585">
        <f>((PI()*BG25*BH25/4)*(BE25^2-BF25^2))*BI25</f>
        <v>7.547412924563883E-2</v>
      </c>
      <c r="BK25" s="257">
        <f>(((BJ25/386.4)*(BE25^2+BF25^2))/8)</f>
        <v>1.8313417063248503E-4</v>
      </c>
      <c r="BL25" s="257">
        <f>IF(BL35=0,1,BL35)</f>
        <v>1</v>
      </c>
      <c r="BM25" s="257">
        <f>(BK25/(BL25^2))</f>
        <v>1.8313417063248503E-4</v>
      </c>
      <c r="BO25" s="250" t="s">
        <v>612</v>
      </c>
      <c r="BP25" s="251">
        <v>2.75</v>
      </c>
      <c r="BQ25" s="251">
        <v>1.871</v>
      </c>
      <c r="BR25" s="251">
        <v>0.68</v>
      </c>
      <c r="BS25" s="251">
        <v>0.28299999999999997</v>
      </c>
      <c r="BT25" s="257">
        <v>1</v>
      </c>
      <c r="BU25" s="585">
        <f>((PI()*BR25*BS25/4)*(BP25^2-BQ25^2))*BT25</f>
        <v>0.61391758463061896</v>
      </c>
      <c r="BV25" s="257">
        <f>(((BU25/386.4)*(BP25^2+BQ25^2))/8)</f>
        <v>2.1971586442637069E-3</v>
      </c>
      <c r="BW25" s="257">
        <f>IF(BW35=0,1,BW35)</f>
        <v>1</v>
      </c>
      <c r="BX25" s="257">
        <f>(BV25/(BW25^2))</f>
        <v>2.1971586442637069E-3</v>
      </c>
      <c r="BZ25" s="250" t="s">
        <v>1033</v>
      </c>
      <c r="CA25" s="251">
        <v>4.88</v>
      </c>
      <c r="CB25" s="251">
        <v>2.1880000000000002</v>
      </c>
      <c r="CC25" s="251">
        <v>0.42</v>
      </c>
      <c r="CD25" s="251">
        <v>0.28299999999999997</v>
      </c>
      <c r="CE25" s="257">
        <v>1</v>
      </c>
      <c r="CF25" s="585">
        <f>((PI()*CC25*CD25/4)*(CA25^2-CB25^2))*CE25</f>
        <v>1.7762218315567706</v>
      </c>
      <c r="CG25" s="257">
        <f>(((CF25/386.4)*(CA25^2+CB25^2))/8)</f>
        <v>1.6434731532543309E-2</v>
      </c>
      <c r="CH25" s="257" t="e">
        <f ca="1">Ratio</f>
        <v>#N/A</v>
      </c>
      <c r="CI25" s="257" t="e">
        <f ca="1">(CG25/(CH25^2))</f>
        <v>#N/A</v>
      </c>
      <c r="CK25" s="250" t="s">
        <v>614</v>
      </c>
      <c r="CL25" s="251">
        <v>3.8340000000000001</v>
      </c>
      <c r="CM25" s="251">
        <v>1.5</v>
      </c>
      <c r="CN25" s="251">
        <v>1.875</v>
      </c>
      <c r="CO25" s="251">
        <v>0.28299999999999997</v>
      </c>
      <c r="CP25" s="257">
        <v>1</v>
      </c>
      <c r="CQ25" s="585">
        <f>((PI()*CN25*CO25/4)*(CL25^2-CM25^2))*CP25</f>
        <v>5.1883761227931977</v>
      </c>
      <c r="CR25" s="257">
        <f>(((CQ25/386.4)*(CL25^2+CM25^2))/8)</f>
        <v>2.8448716240407027E-2</v>
      </c>
      <c r="CS25" s="257" t="e">
        <f ca="1">Ratio</f>
        <v>#N/A</v>
      </c>
      <c r="CT25" s="257" t="e">
        <f ca="1">(CR25/(CS25^2))</f>
        <v>#N/A</v>
      </c>
      <c r="CV25" s="345"/>
      <c r="CW25" s="257">
        <v>4.4400000000000004</v>
      </c>
      <c r="CX25" s="339">
        <v>2</v>
      </c>
      <c r="CY25" s="339">
        <v>2.75</v>
      </c>
      <c r="CZ25" s="257">
        <v>0.28299999999999997</v>
      </c>
      <c r="DA25" s="257">
        <v>1</v>
      </c>
      <c r="DB25" s="585">
        <f>((PI()*CY25*CZ25/4)*(CW25^2-CX25^2))*DA25</f>
        <v>9.6047199056668369</v>
      </c>
      <c r="DC25" s="257">
        <f>(((DB25/386.4)*(CW25^2+CX25^2))/8)</f>
        <v>7.3680928427478379E-2</v>
      </c>
      <c r="DD25" s="257" t="e">
        <f ca="1">Ratio</f>
        <v>#N/A</v>
      </c>
      <c r="DE25" s="257" t="e">
        <f ca="1">(DC25/(DD25^2))</f>
        <v>#N/A</v>
      </c>
      <c r="DG25" s="250"/>
      <c r="DH25" s="339">
        <v>6.63</v>
      </c>
      <c r="DI25" s="339">
        <v>2</v>
      </c>
      <c r="DJ25" s="339">
        <v>1</v>
      </c>
      <c r="DK25" s="254">
        <v>0.28299999999999997</v>
      </c>
      <c r="DL25" s="257">
        <v>1</v>
      </c>
      <c r="DM25" s="585">
        <f>((PI()*DJ25*DK25/4)*(DH25^2-DI25^2))*DL25</f>
        <v>8.8811274726407046</v>
      </c>
      <c r="DN25" s="257">
        <f>(((DM25/386.4)*(DH25^2+DI25^2))/8)</f>
        <v>0.13778187826497251</v>
      </c>
      <c r="DO25" s="257" t="e">
        <f ca="1">Ratio</f>
        <v>#N/A</v>
      </c>
      <c r="DP25" s="257" t="e">
        <f ca="1">(DN25/(DO25^2))</f>
        <v>#N/A</v>
      </c>
      <c r="DR25" s="250" t="s">
        <v>1041</v>
      </c>
      <c r="DS25" s="258">
        <v>9</v>
      </c>
      <c r="DT25" s="258">
        <v>5.15</v>
      </c>
      <c r="DU25" s="258">
        <v>3.19</v>
      </c>
      <c r="DV25" s="251">
        <v>0.28299999999999997</v>
      </c>
      <c r="DW25" s="257">
        <v>0</v>
      </c>
      <c r="DX25" s="585">
        <f>((PI()*DU25*DV25/4)*(DS25^2-DT25^2))*DW25</f>
        <v>0</v>
      </c>
      <c r="DY25" s="257">
        <f>(((DX25/386.4)*(DS25^2+DT25^2))/8)</f>
        <v>0</v>
      </c>
      <c r="DZ25" s="258" t="e">
        <f ca="1">Ratio</f>
        <v>#N/A</v>
      </c>
      <c r="EA25" s="257" t="e">
        <f ca="1">(DY25/(DZ25^2))</f>
        <v>#N/A</v>
      </c>
      <c r="EC25" s="250" t="s">
        <v>1041</v>
      </c>
      <c r="ED25" s="258">
        <v>10.5</v>
      </c>
      <c r="EE25" s="258">
        <v>5.14</v>
      </c>
      <c r="EF25" s="258">
        <v>3.19</v>
      </c>
      <c r="EG25" s="251">
        <v>0.28299999999999997</v>
      </c>
      <c r="EH25" s="257">
        <v>0</v>
      </c>
      <c r="EI25" s="585">
        <f>((PI()*EF25*EG25/4)*(ED25^2-EE25^2))*EH25</f>
        <v>0</v>
      </c>
      <c r="EJ25" s="257">
        <f>(((EI25/386.4)*(ED25^2+EE25^2))/8)</f>
        <v>0</v>
      </c>
      <c r="EK25" s="258" t="e">
        <f ca="1">Ratio</f>
        <v>#N/A</v>
      </c>
      <c r="EL25" s="257" t="e">
        <f ca="1">(EJ25/(EK25^2))</f>
        <v>#N/A</v>
      </c>
    </row>
    <row r="26" spans="1:142" ht="15.75" x14ac:dyDescent="0.25">
      <c r="A26" s="248"/>
      <c r="B26" s="258"/>
      <c r="C26" s="258"/>
      <c r="D26" s="258"/>
      <c r="E26" s="258"/>
      <c r="F26" s="258"/>
      <c r="G26" s="258"/>
      <c r="H26" s="258"/>
      <c r="I26" s="258"/>
      <c r="J26" s="258"/>
      <c r="L26" s="248"/>
      <c r="M26" s="258"/>
      <c r="N26" s="258"/>
      <c r="O26" s="258"/>
      <c r="P26" s="258"/>
      <c r="Q26" s="258"/>
      <c r="R26" s="258"/>
      <c r="S26" s="258"/>
      <c r="T26" s="258"/>
      <c r="U26" s="258"/>
      <c r="W26" s="250" t="s">
        <v>1042</v>
      </c>
      <c r="X26" s="251">
        <v>2.5</v>
      </c>
      <c r="Y26" s="251">
        <v>0.94399999999999995</v>
      </c>
      <c r="Z26" s="251">
        <v>0.25</v>
      </c>
      <c r="AA26" s="251">
        <v>0.28299999999999997</v>
      </c>
      <c r="AB26" s="257">
        <v>1</v>
      </c>
      <c r="AC26" s="585">
        <f>((PI()*Z26*AA26/4)*(X26^2-Y26^2))*AB26</f>
        <v>0.29777556750239176</v>
      </c>
      <c r="AD26" s="257">
        <f>(((AC26/386.4)*(X26^2+Y26^2))/8)</f>
        <v>6.8790625809127845E-4</v>
      </c>
      <c r="AE26" s="257">
        <f>IF(AE34=0,1,AE34)</f>
        <v>1</v>
      </c>
      <c r="AF26" s="257">
        <f>(AD26/(AE26^2))</f>
        <v>6.8790625809127845E-4</v>
      </c>
      <c r="AH26" s="250" t="s">
        <v>1042</v>
      </c>
      <c r="AI26" s="251">
        <v>2.5</v>
      </c>
      <c r="AJ26" s="251">
        <v>0.94399999999999995</v>
      </c>
      <c r="AK26" s="251">
        <v>0.25</v>
      </c>
      <c r="AL26" s="251">
        <v>0.28299999999999997</v>
      </c>
      <c r="AM26" s="257">
        <v>1</v>
      </c>
      <c r="AN26" s="585">
        <f>((PI()*AK26*AL26/4)*(AI26^2-AJ26^2))*AM26</f>
        <v>0.29777556750239176</v>
      </c>
      <c r="AO26" s="257">
        <f>(((AN26/386.4)*(AI26^2+AJ26^2))/8)</f>
        <v>6.8790625809127845E-4</v>
      </c>
      <c r="AP26" s="257">
        <f>IF(AP34=0,1,AP34)</f>
        <v>1</v>
      </c>
      <c r="AQ26" s="257">
        <f>(AO26/(AP26^2))</f>
        <v>6.8790625809127845E-4</v>
      </c>
      <c r="AS26" s="250"/>
      <c r="AT26" s="251"/>
      <c r="AU26" s="251"/>
      <c r="AV26" s="251"/>
      <c r="AW26" s="251"/>
      <c r="AX26" s="245"/>
      <c r="AY26" s="429"/>
      <c r="AZ26" s="254"/>
      <c r="BA26" s="251"/>
      <c r="BB26" s="256"/>
      <c r="BD26" s="250"/>
      <c r="BE26" s="251"/>
      <c r="BF26" s="251"/>
      <c r="BG26" s="251"/>
      <c r="BH26" s="251"/>
      <c r="BI26" s="245"/>
      <c r="BJ26" s="429"/>
      <c r="BK26" s="254"/>
      <c r="BL26" s="251"/>
      <c r="BM26" s="245"/>
      <c r="BO26" s="250"/>
      <c r="BP26" s="251"/>
      <c r="BQ26" s="251"/>
      <c r="BR26" s="251"/>
      <c r="BS26" s="251"/>
      <c r="BT26" s="245"/>
      <c r="BU26" s="429"/>
      <c r="BV26" s="254"/>
      <c r="BW26" s="245"/>
      <c r="BX26" s="245"/>
      <c r="BZ26" s="250"/>
      <c r="CA26" s="251"/>
      <c r="CB26" s="251"/>
      <c r="CC26" s="251"/>
      <c r="CD26" s="251"/>
      <c r="CE26" s="245"/>
      <c r="CF26" s="429"/>
      <c r="CG26" s="254"/>
      <c r="CH26" s="245"/>
      <c r="CI26" s="245"/>
      <c r="CK26" s="250"/>
      <c r="CL26" s="251"/>
      <c r="CM26" s="251"/>
      <c r="CN26" s="251"/>
      <c r="CO26" s="251"/>
      <c r="CP26" s="245"/>
      <c r="CQ26" s="429"/>
      <c r="CR26" s="254"/>
      <c r="CS26" s="245"/>
      <c r="CT26" s="245"/>
      <c r="CV26" s="345"/>
      <c r="CW26" s="245"/>
      <c r="CX26" s="339"/>
      <c r="CY26" s="339"/>
      <c r="CZ26" s="245"/>
      <c r="DA26" s="245"/>
      <c r="DB26" s="435"/>
      <c r="DC26" s="254"/>
      <c r="DD26" s="255"/>
      <c r="DE26" s="256"/>
      <c r="DG26" s="345"/>
      <c r="DH26" s="339">
        <v>4.4400000000000004</v>
      </c>
      <c r="DI26" s="339">
        <v>2</v>
      </c>
      <c r="DJ26" s="339">
        <v>2.75</v>
      </c>
      <c r="DK26" s="254">
        <v>0.28299999999999997</v>
      </c>
      <c r="DL26" s="257">
        <v>1</v>
      </c>
      <c r="DM26" s="585">
        <f>((PI()*DJ26*DK26/4)*(DH26^2-DI26^2))*DL26</f>
        <v>9.6047199056668369</v>
      </c>
      <c r="DN26" s="257">
        <f>(((DM26/386.4)*(DH26^2+DI26^2))/8)</f>
        <v>7.3680928427478379E-2</v>
      </c>
      <c r="DO26" s="257" t="e">
        <f ca="1">Ratio</f>
        <v>#N/A</v>
      </c>
      <c r="DP26" s="257" t="e">
        <f ca="1">(DN26/(DO26^2))</f>
        <v>#N/A</v>
      </c>
      <c r="DR26" s="250">
        <v>-68</v>
      </c>
      <c r="DS26" s="258">
        <v>7.25</v>
      </c>
      <c r="DT26" s="258">
        <v>2</v>
      </c>
      <c r="DU26" s="258">
        <v>1.1299999999999999</v>
      </c>
      <c r="DV26" s="251">
        <v>0.28299999999999997</v>
      </c>
      <c r="DW26" s="257">
        <v>1</v>
      </c>
      <c r="DX26" s="585">
        <f>((PI()*DU26*DV26/4)*(DS26^2-DT26^2))*DW26</f>
        <v>12.197077870551247</v>
      </c>
      <c r="DY26" s="257">
        <f>(((DX26/386.4)*(DS26^2+DT26^2))/8)</f>
        <v>0.22318103553734955</v>
      </c>
      <c r="DZ26" s="258" t="e">
        <f ca="1">Ratio</f>
        <v>#N/A</v>
      </c>
      <c r="EA26" s="257" t="e">
        <f ca="1">(DY26/(DZ26^2))</f>
        <v>#N/A</v>
      </c>
      <c r="EC26" s="250">
        <v>-68</v>
      </c>
      <c r="ED26" s="258">
        <v>7.25</v>
      </c>
      <c r="EE26" s="258">
        <v>3.5</v>
      </c>
      <c r="EF26" s="258">
        <v>1</v>
      </c>
      <c r="EG26" s="251">
        <v>0.28299999999999997</v>
      </c>
      <c r="EH26" s="257">
        <v>1</v>
      </c>
      <c r="EI26" s="585">
        <f>((PI()*EF26*EG26/4)*(ED26^2-EE26^2))*EH26</f>
        <v>8.960165859734575</v>
      </c>
      <c r="EJ26" s="257">
        <f>(((EI26/386.4)*(ED26^2+EE26^2))/8)</f>
        <v>0.18786579638459083</v>
      </c>
      <c r="EK26" s="258" t="e">
        <f ca="1">Ratio</f>
        <v>#N/A</v>
      </c>
      <c r="EL26" s="257" t="e">
        <f ca="1">(EJ26/(EK26^2))</f>
        <v>#N/A</v>
      </c>
    </row>
    <row r="27" spans="1:142" ht="15.75" x14ac:dyDescent="0.25">
      <c r="A27" s="248"/>
      <c r="B27" s="258"/>
      <c r="C27" s="258"/>
      <c r="D27" s="258"/>
      <c r="E27" s="258"/>
      <c r="F27" s="258"/>
      <c r="G27" s="258"/>
      <c r="H27" s="258"/>
      <c r="I27" s="258"/>
      <c r="J27" s="258"/>
      <c r="L27" s="248"/>
      <c r="M27" s="258"/>
      <c r="N27" s="258"/>
      <c r="O27" s="258"/>
      <c r="P27" s="258"/>
      <c r="Q27" s="258"/>
      <c r="R27" s="258"/>
      <c r="S27" s="258"/>
      <c r="T27" s="258"/>
      <c r="U27" s="258"/>
      <c r="W27" s="250" t="s">
        <v>1043</v>
      </c>
      <c r="X27" s="251">
        <v>1.625</v>
      </c>
      <c r="Y27" s="251">
        <v>0.94399999999999995</v>
      </c>
      <c r="Z27" s="251">
        <v>1</v>
      </c>
      <c r="AA27" s="251">
        <v>0.28299999999999997</v>
      </c>
      <c r="AB27" s="257">
        <v>1</v>
      </c>
      <c r="AC27" s="585">
        <f>((PI()*Z27*AA27/4)*(X27^2-Y27^2))*AB27</f>
        <v>0.38885486163798283</v>
      </c>
      <c r="AD27" s="257">
        <f>(((AC27/386.4)*(X27^2+Y27^2))/8)</f>
        <v>4.4427485604083336E-4</v>
      </c>
      <c r="AE27" s="257">
        <f>IF(AE34=0,1,AE34)</f>
        <v>1</v>
      </c>
      <c r="AF27" s="257">
        <f>(AD27/(AE27^2))</f>
        <v>4.4427485604083336E-4</v>
      </c>
      <c r="AH27" s="250" t="s">
        <v>1043</v>
      </c>
      <c r="AI27" s="251">
        <v>1.625</v>
      </c>
      <c r="AJ27" s="251">
        <v>0.94399999999999995</v>
      </c>
      <c r="AK27" s="251">
        <v>1</v>
      </c>
      <c r="AL27" s="251">
        <v>0.28299999999999997</v>
      </c>
      <c r="AM27" s="257">
        <v>1</v>
      </c>
      <c r="AN27" s="585">
        <f>((PI()*AK27*AL27/4)*(AI27^2-AJ27^2))*AM27</f>
        <v>0.38885486163798283</v>
      </c>
      <c r="AO27" s="257">
        <f>(((AN27/386.4)*(AI27^2+AJ27^2))/8)</f>
        <v>4.4427485604083336E-4</v>
      </c>
      <c r="AP27" s="257">
        <f>IF(AP34=0,1,AP34)</f>
        <v>1</v>
      </c>
      <c r="AQ27" s="257">
        <f>(AO27/(AP27^2))</f>
        <v>4.4427485604083336E-4</v>
      </c>
      <c r="AS27" s="250" t="s">
        <v>597</v>
      </c>
      <c r="AT27" s="251">
        <v>2.5</v>
      </c>
      <c r="AU27" s="251">
        <v>0.94399999999999995</v>
      </c>
      <c r="AV27" s="251">
        <v>0.25</v>
      </c>
      <c r="AW27" s="251">
        <v>0.28299999999999997</v>
      </c>
      <c r="AX27" s="257">
        <v>1</v>
      </c>
      <c r="AY27" s="585">
        <f>((PI()*AV27*AW27/4)*(AT27^2-AU27^2))*AX27</f>
        <v>0.29777556750239176</v>
      </c>
      <c r="AZ27" s="257">
        <f>(((AY27/386.4)*(AT27^2+AU27^2))/8)</f>
        <v>6.8790625809127845E-4</v>
      </c>
      <c r="BA27" s="257">
        <f>IF(BA34=0,1,BA34)</f>
        <v>1</v>
      </c>
      <c r="BB27" s="257">
        <f>(AZ27/(BA27^2))</f>
        <v>6.8790625809127845E-4</v>
      </c>
      <c r="BD27" s="250" t="s">
        <v>597</v>
      </c>
      <c r="BE27" s="251">
        <v>2.6869999999999998</v>
      </c>
      <c r="BF27" s="251">
        <v>1.6539999999999999</v>
      </c>
      <c r="BG27" s="251">
        <v>0.375</v>
      </c>
      <c r="BH27" s="251">
        <v>0.28299999999999997</v>
      </c>
      <c r="BI27" s="257">
        <v>1</v>
      </c>
      <c r="BJ27" s="585">
        <f>((PI()*BG27*BH27/4)*(BE27^2-BF27^2))*BI27</f>
        <v>0.37376419197220784</v>
      </c>
      <c r="BK27" s="257">
        <f>(((BJ27/386.4)*(BE27^2+BF27^2))/8)</f>
        <v>1.2037650619677893E-3</v>
      </c>
      <c r="BL27" s="257">
        <f>IF(BL34=0,1,BL34)</f>
        <v>1</v>
      </c>
      <c r="BM27" s="257">
        <f>(BK27/(BL27^2))</f>
        <v>1.2037650619677893E-3</v>
      </c>
      <c r="BO27" s="250" t="s">
        <v>597</v>
      </c>
      <c r="BP27" s="251">
        <v>2.6869999999999998</v>
      </c>
      <c r="BQ27" s="251">
        <v>1.6539999999999999</v>
      </c>
      <c r="BR27" s="251">
        <v>0.375</v>
      </c>
      <c r="BS27" s="251">
        <v>0.28299999999999997</v>
      </c>
      <c r="BT27" s="257">
        <v>1</v>
      </c>
      <c r="BU27" s="585">
        <f>((PI()*BR27*BS27/4)*(BP27^2-BQ27^2))*BT27</f>
        <v>0.37376419197220784</v>
      </c>
      <c r="BV27" s="257">
        <f>(((BU27/386.4)*(BP27^2+BQ27^2))/8)</f>
        <v>1.2037650619677893E-3</v>
      </c>
      <c r="BW27" s="257">
        <f>IF(BW34=0,1,BW34)</f>
        <v>1</v>
      </c>
      <c r="BX27" s="257">
        <f>(BV27/(BW27^2))</f>
        <v>1.2037650619677893E-3</v>
      </c>
      <c r="BZ27" s="250"/>
      <c r="CA27" s="251"/>
      <c r="CB27" s="251"/>
      <c r="CC27" s="251"/>
      <c r="CD27" s="251"/>
      <c r="CE27" s="257"/>
      <c r="CF27" s="429"/>
      <c r="CG27" s="254"/>
      <c r="CH27" s="255"/>
      <c r="CI27" s="256"/>
      <c r="CK27" s="250" t="s">
        <v>615</v>
      </c>
      <c r="CL27" s="251">
        <v>2.375</v>
      </c>
      <c r="CM27" s="251">
        <v>0.54900000000000004</v>
      </c>
      <c r="CN27" s="251">
        <v>2.375</v>
      </c>
      <c r="CO27" s="251">
        <v>0.28299999999999997</v>
      </c>
      <c r="CP27" s="257">
        <v>1</v>
      </c>
      <c r="CQ27" s="585">
        <f>((PI()*CN27*CO27/4)*(CL27^2-CM27^2))*CP27</f>
        <v>2.8185002153278575</v>
      </c>
      <c r="CR27" s="257">
        <f>(((CQ27/386.4)*(CL27^2+CM27^2))/8)</f>
        <v>5.4178317677548299E-3</v>
      </c>
      <c r="CS27" s="257">
        <f>IF(CS34=0,1,CS34)</f>
        <v>1</v>
      </c>
      <c r="CT27" s="257">
        <f>(CR27/(CS27^2))</f>
        <v>5.4178317677548299E-3</v>
      </c>
      <c r="CV27" s="250" t="s">
        <v>605</v>
      </c>
      <c r="CW27" s="255">
        <v>7.44</v>
      </c>
      <c r="CX27" s="339">
        <v>6.25</v>
      </c>
      <c r="CY27" s="339">
        <v>3.31</v>
      </c>
      <c r="CZ27" s="251">
        <v>0.28299999999999997</v>
      </c>
      <c r="DA27" s="257">
        <v>1</v>
      </c>
      <c r="DB27" s="585">
        <f>((PI()*CY27*CZ27/4)*(CW27^2-CX27^2))*DA27</f>
        <v>11.985460368476225</v>
      </c>
      <c r="DC27" s="257">
        <f>(((DB27/386.4)*(CW27^2+CX27^2))/8)</f>
        <v>0.36607803593946953</v>
      </c>
      <c r="DD27" s="257">
        <f>IF($DD$37=0,1,$DD$37)</f>
        <v>5</v>
      </c>
      <c r="DE27" s="257">
        <f>(DC27/(DD27^2))</f>
        <v>1.4643121437578781E-2</v>
      </c>
      <c r="DG27" s="345"/>
      <c r="DH27" s="339"/>
      <c r="DI27" s="339"/>
      <c r="DJ27" s="339"/>
      <c r="DK27" s="254"/>
      <c r="DL27" s="245"/>
      <c r="DM27" s="435"/>
      <c r="DN27" s="254"/>
      <c r="DO27" s="255"/>
      <c r="DP27" s="256"/>
      <c r="DR27" s="345"/>
      <c r="DS27" s="258">
        <v>5.14</v>
      </c>
      <c r="DT27" s="258">
        <v>2</v>
      </c>
      <c r="DU27" s="258">
        <v>3.5</v>
      </c>
      <c r="DV27" s="251">
        <v>0.28299999999999997</v>
      </c>
      <c r="DW27" s="257">
        <v>1</v>
      </c>
      <c r="DX27" s="585">
        <f>((PI()*DU27*DV27/4)*(DS27^2-DT27^2))*DW27</f>
        <v>17.441033693796424</v>
      </c>
      <c r="DY27" s="257">
        <f>(((DX27/386.4)*(DS27^2+DT27^2))/8)</f>
        <v>0.17163213915366513</v>
      </c>
      <c r="DZ27" s="258" t="e">
        <f ca="1">Ratio</f>
        <v>#N/A</v>
      </c>
      <c r="EA27" s="257" t="e">
        <f ca="1">(DY27/(DZ27^2))</f>
        <v>#N/A</v>
      </c>
      <c r="EC27" s="345"/>
      <c r="ED27" s="258">
        <v>5.14</v>
      </c>
      <c r="EE27" s="258">
        <v>3.5</v>
      </c>
      <c r="EF27" s="258">
        <v>3.5</v>
      </c>
      <c r="EG27" s="251">
        <v>0.28299999999999997</v>
      </c>
      <c r="EH27" s="257">
        <v>1</v>
      </c>
      <c r="EI27" s="585">
        <f>((PI()*EF27*EG27/4)*(ED27^2-EE27^2))*EH27</f>
        <v>11.023054426823752</v>
      </c>
      <c r="EJ27" s="257">
        <f>(((EI27/386.4)*(ED27^2+EE27^2))/8)</f>
        <v>0.13789373235749991</v>
      </c>
      <c r="EK27" s="258" t="e">
        <f ca="1">Ratio</f>
        <v>#N/A</v>
      </c>
      <c r="EL27" s="257" t="e">
        <f ca="1">(EJ27/(EK27^2))</f>
        <v>#N/A</v>
      </c>
    </row>
    <row r="28" spans="1:142" ht="15.75" x14ac:dyDescent="0.25">
      <c r="A28" s="248"/>
      <c r="B28" s="245"/>
      <c r="C28" s="245"/>
      <c r="D28" s="245"/>
      <c r="E28" s="245"/>
      <c r="F28" s="245"/>
      <c r="G28" s="245"/>
      <c r="H28" s="245"/>
      <c r="I28" s="245"/>
      <c r="J28" s="245"/>
      <c r="L28" s="248"/>
      <c r="M28" s="245"/>
      <c r="N28" s="245"/>
      <c r="O28" s="245"/>
      <c r="P28" s="245"/>
      <c r="Q28" s="245"/>
      <c r="R28" s="245"/>
      <c r="S28" s="245"/>
      <c r="T28" s="245"/>
      <c r="U28" s="245"/>
      <c r="W28" s="248"/>
      <c r="X28" s="245"/>
      <c r="Y28" s="245"/>
      <c r="Z28" s="245"/>
      <c r="AA28" s="245"/>
      <c r="AB28" s="245"/>
      <c r="AC28" s="245"/>
      <c r="AD28" s="245"/>
      <c r="AE28" s="245"/>
      <c r="AF28" s="245"/>
      <c r="AH28" s="248"/>
      <c r="AI28" s="245"/>
      <c r="AJ28" s="245"/>
      <c r="AK28" s="245"/>
      <c r="AL28" s="245"/>
      <c r="AM28" s="245"/>
      <c r="AN28" s="245"/>
      <c r="AO28" s="245"/>
      <c r="AP28" s="245"/>
      <c r="AQ28" s="245"/>
      <c r="AS28" s="250" t="s">
        <v>616</v>
      </c>
      <c r="AT28" s="251">
        <v>1.625</v>
      </c>
      <c r="AU28" s="251">
        <v>0.94399999999999995</v>
      </c>
      <c r="AV28" s="251">
        <v>1</v>
      </c>
      <c r="AW28" s="251">
        <v>0.28299999999999997</v>
      </c>
      <c r="AX28" s="257">
        <v>1</v>
      </c>
      <c r="AY28" s="585">
        <f>((PI()*AV28*AW28/4)*(AT28^2-AU28^2))*AX28</f>
        <v>0.38885486163798283</v>
      </c>
      <c r="AZ28" s="257">
        <f>(((AY28/386.4)*(AT28^2+AU28^2))/8)</f>
        <v>4.4427485604083336E-4</v>
      </c>
      <c r="BA28" s="257">
        <f>IF(BA34=0,1,BA34)</f>
        <v>1</v>
      </c>
      <c r="BB28" s="257">
        <f>(AZ28/(BA28^2))</f>
        <v>4.4427485604083336E-4</v>
      </c>
      <c r="BD28" s="250" t="s">
        <v>1044</v>
      </c>
      <c r="BE28" s="251">
        <v>1.6539999999999999</v>
      </c>
      <c r="BF28" s="251">
        <v>1.26</v>
      </c>
      <c r="BG28" s="251">
        <v>0.875</v>
      </c>
      <c r="BH28" s="251">
        <v>0.28299999999999997</v>
      </c>
      <c r="BI28" s="257">
        <v>1</v>
      </c>
      <c r="BJ28" s="585">
        <f>((PI()*BG28*BH28/4)*(BE28^2-BF28^2))*BI28</f>
        <v>0.2232904449721089</v>
      </c>
      <c r="BK28" s="257">
        <f>(((BJ28/386.4)*(BE28^2+BF28^2))/8)</f>
        <v>3.1229139279083786E-4</v>
      </c>
      <c r="BL28" s="257">
        <f>IF(BL34=0,1,BL34)</f>
        <v>1</v>
      </c>
      <c r="BM28" s="257">
        <f>(BK28/(BL28^2))</f>
        <v>3.1229139279083786E-4</v>
      </c>
      <c r="BO28" s="250" t="s">
        <v>1044</v>
      </c>
      <c r="BP28" s="251">
        <v>1.871</v>
      </c>
      <c r="BQ28" s="251">
        <v>1.496</v>
      </c>
      <c r="BR28" s="251">
        <v>0.875</v>
      </c>
      <c r="BS28" s="251">
        <v>0.28299999999999997</v>
      </c>
      <c r="BT28" s="257">
        <v>1</v>
      </c>
      <c r="BU28" s="585">
        <f>((PI()*BR28*BS28/4)*(BP28^2-BQ28^2))*BT28</f>
        <v>0.24556063854428395</v>
      </c>
      <c r="BV28" s="257">
        <f>(((BU28/386.4)*(BP28^2+BQ28^2))/8)</f>
        <v>4.5587094892165662E-4</v>
      </c>
      <c r="BW28" s="257">
        <f>IF(BW34=0,1,BW34)</f>
        <v>1</v>
      </c>
      <c r="BX28" s="257">
        <f>(BV28/(BW28^2))</f>
        <v>4.5587094892165662E-4</v>
      </c>
      <c r="BZ28" s="250"/>
      <c r="CA28" s="251"/>
      <c r="CB28" s="251"/>
      <c r="CC28" s="251"/>
      <c r="CD28" s="251"/>
      <c r="CE28" s="257"/>
      <c r="CF28" s="429"/>
      <c r="CG28" s="254"/>
      <c r="CH28" s="255"/>
      <c r="CI28" s="256"/>
      <c r="CK28" s="250" t="s">
        <v>618</v>
      </c>
      <c r="CL28" s="251">
        <v>2.40625</v>
      </c>
      <c r="CM28" s="251">
        <v>1.5</v>
      </c>
      <c r="CN28" s="251">
        <v>3.125</v>
      </c>
      <c r="CO28" s="251">
        <v>0.28299999999999997</v>
      </c>
      <c r="CP28" s="257">
        <v>1</v>
      </c>
      <c r="CQ28" s="585">
        <f>((PI()*CN28*CO28/4)*(CL28^2-CM28^2))*CP28</f>
        <v>2.4588633449565345</v>
      </c>
      <c r="CR28" s="257">
        <f>(((CQ28/386.4)*(CL28^2+CM28^2))/8)</f>
        <v>6.3953666352225512E-3</v>
      </c>
      <c r="CS28" s="257">
        <f>IF(CS34=0,1,CS34)</f>
        <v>1</v>
      </c>
      <c r="CT28" s="257">
        <f>(CR28/(CS28^2))</f>
        <v>6.3953666352225512E-3</v>
      </c>
      <c r="CV28" s="250" t="s">
        <v>1045</v>
      </c>
      <c r="CW28" s="255">
        <v>6.25</v>
      </c>
      <c r="CX28" s="339">
        <v>3.84</v>
      </c>
      <c r="CY28" s="339">
        <v>1.63</v>
      </c>
      <c r="CZ28" s="251">
        <v>0.28299999999999997</v>
      </c>
      <c r="DA28" s="257">
        <v>1</v>
      </c>
      <c r="DB28" s="585">
        <f>((PI()*CY28*CZ28/4)*(CW28^2-CX28^2))*DA28</f>
        <v>8.809923354472307</v>
      </c>
      <c r="DC28" s="257">
        <f>(((DB28/386.4)*(CW28^2+CX28^2))/8)</f>
        <v>0.15335314339084541</v>
      </c>
      <c r="DD28" s="257">
        <f>IF($DD$37=0,1,$DD$37)</f>
        <v>5</v>
      </c>
      <c r="DE28" s="257">
        <f>(DC28/(DD28^2))</f>
        <v>6.1341257356338167E-3</v>
      </c>
      <c r="DG28" s="250" t="s">
        <v>1038</v>
      </c>
      <c r="DH28" s="339">
        <v>7.44</v>
      </c>
      <c r="DI28" s="339">
        <v>6.25</v>
      </c>
      <c r="DJ28" s="339">
        <v>3.31</v>
      </c>
      <c r="DK28" s="254">
        <v>0.28299999999999997</v>
      </c>
      <c r="DL28" s="257">
        <v>1</v>
      </c>
      <c r="DM28" s="585">
        <f>((PI()*DJ28*DK28/4)*(DH28^2-DI28^2))*DL28</f>
        <v>11.985460368476225</v>
      </c>
      <c r="DN28" s="257">
        <f>(((DM28/386.4)*(DH28^2+DI28^2))/8)</f>
        <v>0.36607803593946953</v>
      </c>
      <c r="DO28" s="257">
        <f>IF(DO37=0,1,DO37)</f>
        <v>5</v>
      </c>
      <c r="DP28" s="257">
        <f>(DN28/(DO28^2))</f>
        <v>1.4643121437578781E-2</v>
      </c>
      <c r="DR28" s="345"/>
      <c r="DS28" s="258"/>
      <c r="DT28" s="258"/>
      <c r="DU28" s="258"/>
      <c r="DV28" s="245"/>
      <c r="DW28" s="245"/>
      <c r="DX28" s="435"/>
      <c r="DY28" s="254"/>
      <c r="DZ28" s="341"/>
      <c r="EA28" s="256"/>
      <c r="EC28" s="345"/>
      <c r="ED28" s="258"/>
      <c r="EE28" s="258"/>
      <c r="EF28" s="258"/>
      <c r="EG28" s="245"/>
      <c r="EH28" s="245"/>
      <c r="EI28" s="435"/>
      <c r="EJ28" s="254"/>
      <c r="EK28" s="341"/>
      <c r="EL28" s="256"/>
    </row>
    <row r="29" spans="1:142" ht="15.75" x14ac:dyDescent="0.25">
      <c r="A29" s="248"/>
      <c r="B29" s="338" t="s">
        <v>619</v>
      </c>
      <c r="C29" s="338" t="s">
        <v>620</v>
      </c>
      <c r="D29" s="338"/>
      <c r="E29" s="338" t="s">
        <v>621</v>
      </c>
      <c r="F29" s="338"/>
      <c r="G29" s="245"/>
      <c r="H29" s="338" t="s">
        <v>576</v>
      </c>
      <c r="I29" s="338" t="s">
        <v>103</v>
      </c>
      <c r="J29" s="338" t="s">
        <v>577</v>
      </c>
      <c r="L29" s="248"/>
      <c r="M29" s="338" t="s">
        <v>619</v>
      </c>
      <c r="N29" s="338" t="s">
        <v>620</v>
      </c>
      <c r="O29" s="338"/>
      <c r="P29" s="338" t="s">
        <v>621</v>
      </c>
      <c r="Q29" s="338"/>
      <c r="R29" s="245"/>
      <c r="S29" s="338" t="s">
        <v>576</v>
      </c>
      <c r="T29" s="338" t="s">
        <v>103</v>
      </c>
      <c r="U29" s="338" t="s">
        <v>577</v>
      </c>
      <c r="W29" s="248"/>
      <c r="X29" s="338" t="s">
        <v>619</v>
      </c>
      <c r="Y29" s="338" t="s">
        <v>620</v>
      </c>
      <c r="Z29" s="338"/>
      <c r="AA29" s="338" t="s">
        <v>621</v>
      </c>
      <c r="AB29" s="338"/>
      <c r="AC29" s="245"/>
      <c r="AD29" s="338" t="s">
        <v>576</v>
      </c>
      <c r="AE29" s="338" t="s">
        <v>103</v>
      </c>
      <c r="AF29" s="338" t="s">
        <v>577</v>
      </c>
      <c r="AH29" s="248"/>
      <c r="AI29" s="338" t="s">
        <v>619</v>
      </c>
      <c r="AJ29" s="338" t="s">
        <v>620</v>
      </c>
      <c r="AK29" s="338"/>
      <c r="AL29" s="338" t="s">
        <v>621</v>
      </c>
      <c r="AM29" s="338"/>
      <c r="AN29" s="245"/>
      <c r="AO29" s="338" t="s">
        <v>576</v>
      </c>
      <c r="AP29" s="338" t="s">
        <v>103</v>
      </c>
      <c r="AQ29" s="338" t="s">
        <v>577</v>
      </c>
      <c r="AS29" s="248"/>
      <c r="AT29" s="258"/>
      <c r="AU29" s="258"/>
      <c r="AV29" s="258"/>
      <c r="AW29" s="258"/>
      <c r="AX29" s="258"/>
      <c r="AY29" s="258"/>
      <c r="AZ29" s="258"/>
      <c r="BA29" s="258"/>
      <c r="BB29" s="258"/>
      <c r="BD29" s="248"/>
      <c r="BE29" s="258"/>
      <c r="BF29" s="258"/>
      <c r="BG29" s="258"/>
      <c r="BH29" s="258"/>
      <c r="BI29" s="258"/>
      <c r="BJ29" s="258"/>
      <c r="BK29" s="258"/>
      <c r="BL29" s="258"/>
      <c r="BM29" s="258"/>
      <c r="BO29" s="248"/>
      <c r="BP29" s="258"/>
      <c r="BQ29" s="258"/>
      <c r="BR29" s="258"/>
      <c r="BS29" s="258"/>
      <c r="BT29" s="258"/>
      <c r="BU29" s="258"/>
      <c r="BV29" s="258"/>
      <c r="BW29" s="258"/>
      <c r="BX29" s="258"/>
      <c r="BZ29" s="248"/>
      <c r="CA29" s="258"/>
      <c r="CB29" s="258"/>
      <c r="CC29" s="258"/>
      <c r="CD29" s="258"/>
      <c r="CE29" s="258"/>
      <c r="CF29" s="258"/>
      <c r="CG29" s="258"/>
      <c r="CH29" s="258"/>
      <c r="CI29" s="258"/>
      <c r="CK29" s="250"/>
      <c r="CL29" s="251"/>
      <c r="CM29" s="251"/>
      <c r="CN29" s="251"/>
      <c r="CO29" s="251"/>
      <c r="CP29" s="245"/>
      <c r="CQ29" s="429"/>
      <c r="CR29" s="254"/>
      <c r="CS29" s="245"/>
      <c r="CT29" s="245"/>
      <c r="CV29" s="250">
        <v>-68</v>
      </c>
      <c r="CW29" s="255">
        <v>6</v>
      </c>
      <c r="CX29" s="339">
        <v>1.97</v>
      </c>
      <c r="CY29" s="339">
        <v>0.88</v>
      </c>
      <c r="CZ29" s="251">
        <v>0.28299999999999997</v>
      </c>
      <c r="DA29" s="257">
        <v>1</v>
      </c>
      <c r="DB29" s="585">
        <f>((PI()*CY29*CZ29/4)*(CW29^2-CX29^2))*DA29</f>
        <v>6.2823533066307657</v>
      </c>
      <c r="DC29" s="257">
        <f>(((DB29/386.4)*(CW29^2+CX29^2))/8)</f>
        <v>8.1051340575314088E-2</v>
      </c>
      <c r="DD29" s="257">
        <f>IF($DD$37=0,1,$DD$37)</f>
        <v>5</v>
      </c>
      <c r="DE29" s="257">
        <f>(DC29/(DD29^2))</f>
        <v>3.2420536230125634E-3</v>
      </c>
      <c r="DG29" s="250" t="s">
        <v>1046</v>
      </c>
      <c r="DH29" s="339">
        <v>6.25</v>
      </c>
      <c r="DI29" s="339">
        <v>3.84</v>
      </c>
      <c r="DJ29" s="339">
        <v>1.63</v>
      </c>
      <c r="DK29" s="254">
        <v>0.28299999999999997</v>
      </c>
      <c r="DL29" s="257">
        <v>1</v>
      </c>
      <c r="DM29" s="585">
        <f>((PI()*DJ29*DK29/4)*(DH29^2-DI29^2))*DL29</f>
        <v>8.809923354472307</v>
      </c>
      <c r="DN29" s="257">
        <f>(((DM29/386.4)*(DH29^2+DI29^2))/8)</f>
        <v>0.15335314339084541</v>
      </c>
      <c r="DO29" s="257">
        <f>IF(DO37=0,1,DO37)</f>
        <v>5</v>
      </c>
      <c r="DP29" s="257">
        <f>(DN29/(DO29^2))</f>
        <v>6.1341257356338167E-3</v>
      </c>
      <c r="DR29" s="250" t="s">
        <v>1038</v>
      </c>
      <c r="DS29" s="341">
        <v>6.67</v>
      </c>
      <c r="DT29" s="341">
        <v>6.25</v>
      </c>
      <c r="DU29" s="258">
        <v>3.31</v>
      </c>
      <c r="DV29" s="251">
        <v>0.28299999999999997</v>
      </c>
      <c r="DW29" s="257">
        <v>1</v>
      </c>
      <c r="DX29" s="585">
        <f>((PI()*DU29*DV29/4)*(DS29^2-DT29^2))*DW29</f>
        <v>3.9922351556063971</v>
      </c>
      <c r="DY29" s="257">
        <f>(((DX29/386.4)*(DS29^2+DT29^2))/8)</f>
        <v>0.10790529127204075</v>
      </c>
      <c r="DZ29" s="258">
        <f>IF(DZ37=0,1,DZ37)</f>
        <v>5</v>
      </c>
      <c r="EA29" s="257">
        <f>(DY29/(DZ29^2))</f>
        <v>4.3162116508816302E-3</v>
      </c>
      <c r="EC29" s="250" t="s">
        <v>605</v>
      </c>
      <c r="ED29" s="341">
        <v>6.31</v>
      </c>
      <c r="EE29" s="341">
        <v>4.3099999999999996</v>
      </c>
      <c r="EF29" s="258">
        <v>3.31</v>
      </c>
      <c r="EG29" s="251">
        <v>0.28299999999999997</v>
      </c>
      <c r="EH29" s="257">
        <v>1</v>
      </c>
      <c r="EI29" s="585">
        <f>((PI()*EF29*EG29/4)*(ED29^2-EE29^2))*EH29</f>
        <v>15.626395898768951</v>
      </c>
      <c r="EJ29" s="257">
        <f>(((EI29/386.4)*(ED29^2+EE29^2))/8)</f>
        <v>0.29517974721794005</v>
      </c>
      <c r="EK29" s="258">
        <f>IF(EK37=0,1,EK37)</f>
        <v>5</v>
      </c>
      <c r="EL29" s="257">
        <f>(EJ29/(EK29^2))</f>
        <v>1.1807189888717602E-2</v>
      </c>
    </row>
    <row r="30" spans="1:142" ht="15.75" x14ac:dyDescent="0.25">
      <c r="A30" s="248"/>
      <c r="B30" s="338"/>
      <c r="C30" s="338"/>
      <c r="D30" s="338"/>
      <c r="E30" s="338"/>
      <c r="F30" s="338"/>
      <c r="G30" s="245"/>
      <c r="H30" s="338"/>
      <c r="I30" s="338"/>
      <c r="J30" s="338"/>
      <c r="L30" s="248"/>
      <c r="M30" s="338"/>
      <c r="N30" s="338"/>
      <c r="O30" s="338"/>
      <c r="P30" s="338"/>
      <c r="Q30" s="338"/>
      <c r="R30" s="245"/>
      <c r="S30" s="338"/>
      <c r="T30" s="338"/>
      <c r="U30" s="338"/>
      <c r="W30" s="248"/>
      <c r="X30" s="338"/>
      <c r="Y30" s="338"/>
      <c r="Z30" s="338"/>
      <c r="AA30" s="338"/>
      <c r="AB30" s="338"/>
      <c r="AC30" s="245"/>
      <c r="AD30" s="338"/>
      <c r="AE30" s="338"/>
      <c r="AF30" s="338"/>
      <c r="AH30" s="248"/>
      <c r="AI30" s="338"/>
      <c r="AJ30" s="338"/>
      <c r="AK30" s="338"/>
      <c r="AL30" s="338"/>
      <c r="AM30" s="338"/>
      <c r="AN30" s="245"/>
      <c r="AO30" s="338"/>
      <c r="AP30" s="338"/>
      <c r="AQ30" s="338"/>
      <c r="AS30" s="248"/>
      <c r="AT30" s="245"/>
      <c r="AU30" s="245"/>
      <c r="AV30" s="245"/>
      <c r="AW30" s="245"/>
      <c r="AX30" s="245"/>
      <c r="AY30" s="245"/>
      <c r="AZ30" s="245"/>
      <c r="BA30" s="245"/>
      <c r="BB30" s="245"/>
      <c r="BD30" s="248"/>
      <c r="BE30" s="245"/>
      <c r="BF30" s="245"/>
      <c r="BG30" s="245"/>
      <c r="BH30" s="245"/>
      <c r="BI30" s="245"/>
      <c r="BJ30" s="245"/>
      <c r="BK30" s="245"/>
      <c r="BL30" s="245"/>
      <c r="BM30" s="245"/>
      <c r="BO30" s="248"/>
      <c r="BP30" s="245"/>
      <c r="BQ30" s="245"/>
      <c r="BR30" s="245"/>
      <c r="BS30" s="245"/>
      <c r="BT30" s="245"/>
      <c r="BU30" s="245"/>
      <c r="BV30" s="245"/>
      <c r="BW30" s="245"/>
      <c r="BX30" s="245"/>
      <c r="BZ30" s="248"/>
      <c r="CA30" s="245"/>
      <c r="CB30" s="245"/>
      <c r="CC30" s="245"/>
      <c r="CD30" s="245"/>
      <c r="CE30" s="245"/>
      <c r="CF30" s="245"/>
      <c r="CG30" s="245"/>
      <c r="CH30" s="245"/>
      <c r="CI30" s="245"/>
      <c r="CK30" s="248"/>
      <c r="CL30" s="245"/>
      <c r="CM30" s="245"/>
      <c r="CN30" s="245"/>
      <c r="CO30" s="245"/>
      <c r="CP30" s="245"/>
      <c r="CQ30" s="245"/>
      <c r="CR30" s="245"/>
      <c r="CS30" s="245"/>
      <c r="CT30" s="245"/>
      <c r="CV30" s="250"/>
      <c r="CW30" s="255">
        <v>3.84</v>
      </c>
      <c r="CX30" s="339">
        <v>1.97</v>
      </c>
      <c r="CY30" s="339">
        <v>1.88</v>
      </c>
      <c r="CZ30" s="251">
        <v>0.28299999999999997</v>
      </c>
      <c r="DA30" s="257">
        <v>1</v>
      </c>
      <c r="DB30" s="585">
        <f>((PI()*CY30*CZ30/4)*(CW30^2-CX30^2))*DA30</f>
        <v>4.5399587311768181</v>
      </c>
      <c r="DC30" s="257">
        <f>(((DB30/386.4)*(CW30^2+CX30^2))/8)</f>
        <v>2.7356218072678896E-2</v>
      </c>
      <c r="DD30" s="257">
        <f>IF($DD$37=0,1,$DD$37)</f>
        <v>5</v>
      </c>
      <c r="DE30" s="257">
        <f>(DC30/(DD30^2))</f>
        <v>1.0942487229071559E-3</v>
      </c>
      <c r="DG30" s="250"/>
      <c r="DH30" s="339">
        <v>6</v>
      </c>
      <c r="DI30" s="339">
        <v>1.97</v>
      </c>
      <c r="DJ30" s="339">
        <v>0.88</v>
      </c>
      <c r="DK30" s="254">
        <v>0.28299999999999997</v>
      </c>
      <c r="DL30" s="257">
        <v>1</v>
      </c>
      <c r="DM30" s="585">
        <f>((PI()*DJ30*DK30/4)*(DH30^2-DI30^2))*DL30</f>
        <v>6.2823533066307657</v>
      </c>
      <c r="DN30" s="257">
        <f>(((DM30/386.4)*(DH30^2+DI30^2))/8)</f>
        <v>8.1051340575314088E-2</v>
      </c>
      <c r="DO30" s="257">
        <f>IF(DO37=0,1,DO37)</f>
        <v>5</v>
      </c>
      <c r="DP30" s="257">
        <f>(DN30/(DO30^2))</f>
        <v>3.2420536230125634E-3</v>
      </c>
      <c r="DR30" s="250" t="s">
        <v>1047</v>
      </c>
      <c r="DS30" s="341">
        <v>6.25</v>
      </c>
      <c r="DT30" s="341">
        <v>3.84</v>
      </c>
      <c r="DU30" s="258">
        <v>1.63</v>
      </c>
      <c r="DV30" s="251">
        <v>0.28299999999999997</v>
      </c>
      <c r="DW30" s="257">
        <v>1</v>
      </c>
      <c r="DX30" s="585">
        <f>((PI()*DU30*DV30/4)*(DS30^2-DT30^2))*DW30</f>
        <v>8.809923354472307</v>
      </c>
      <c r="DY30" s="257">
        <f>(((DX30/386.4)*(DS30^2+DT30^2))/8)</f>
        <v>0.15335314339084541</v>
      </c>
      <c r="DZ30" s="258">
        <f>IF(DZ37=0,1,DZ37)</f>
        <v>5</v>
      </c>
      <c r="EA30" s="257">
        <f>(DY30/(DZ30^2))</f>
        <v>6.1341257356338167E-3</v>
      </c>
      <c r="EC30" s="250" t="s">
        <v>1047</v>
      </c>
      <c r="ED30" s="341">
        <v>4.3099999999999996</v>
      </c>
      <c r="EE30" s="341">
        <v>3.34</v>
      </c>
      <c r="EF30" s="258">
        <v>3.47</v>
      </c>
      <c r="EG30" s="251">
        <v>0.28299999999999997</v>
      </c>
      <c r="EH30" s="257">
        <v>1</v>
      </c>
      <c r="EI30" s="585">
        <f>((PI()*EF30*EG30/4)*(ED30^2-EE30^2))*EH30</f>
        <v>5.7232005046746437</v>
      </c>
      <c r="EJ30" s="257">
        <f>(((EI30/386.4)*(ED30^2+EE30^2))/8)</f>
        <v>5.5046739274338473E-2</v>
      </c>
      <c r="EK30" s="258">
        <f>IF(EK37=0,1,EK37)</f>
        <v>5</v>
      </c>
      <c r="EL30" s="257">
        <f>(EJ30/(EK30^2))</f>
        <v>2.2018695709735388E-3</v>
      </c>
    </row>
    <row r="31" spans="1:142" ht="15.75" x14ac:dyDescent="0.25">
      <c r="A31" s="248"/>
      <c r="B31" s="338"/>
      <c r="C31" s="338"/>
      <c r="D31" s="338"/>
      <c r="E31" s="338"/>
      <c r="F31" s="338"/>
      <c r="G31" s="245"/>
      <c r="H31" s="338"/>
      <c r="I31" s="338"/>
      <c r="J31" s="338"/>
      <c r="L31" s="248"/>
      <c r="M31" s="338"/>
      <c r="N31" s="338"/>
      <c r="O31" s="338"/>
      <c r="P31" s="338"/>
      <c r="Q31" s="338"/>
      <c r="R31" s="245"/>
      <c r="S31" s="338"/>
      <c r="T31" s="338"/>
      <c r="U31" s="338"/>
      <c r="W31" s="248"/>
      <c r="X31" s="338"/>
      <c r="Y31" s="338"/>
      <c r="Z31" s="338"/>
      <c r="AA31" s="338"/>
      <c r="AB31" s="338"/>
      <c r="AC31" s="245"/>
      <c r="AD31" s="338"/>
      <c r="AE31" s="338"/>
      <c r="AF31" s="338"/>
      <c r="AH31" s="248"/>
      <c r="AI31" s="338"/>
      <c r="AJ31" s="338"/>
      <c r="AK31" s="338"/>
      <c r="AL31" s="338"/>
      <c r="AM31" s="338"/>
      <c r="AN31" s="245"/>
      <c r="AO31" s="338"/>
      <c r="AP31" s="338"/>
      <c r="AQ31" s="338"/>
      <c r="AS31" s="248"/>
      <c r="AT31" s="338" t="s">
        <v>619</v>
      </c>
      <c r="AU31" s="338" t="s">
        <v>620</v>
      </c>
      <c r="AV31" s="338"/>
      <c r="AW31" s="338" t="s">
        <v>621</v>
      </c>
      <c r="AX31" s="338"/>
      <c r="AY31" s="245"/>
      <c r="AZ31" s="338" t="s">
        <v>576</v>
      </c>
      <c r="BA31" s="338" t="s">
        <v>103</v>
      </c>
      <c r="BB31" s="338" t="s">
        <v>577</v>
      </c>
      <c r="BD31" s="248"/>
      <c r="BE31" s="338" t="s">
        <v>619</v>
      </c>
      <c r="BF31" s="338" t="s">
        <v>620</v>
      </c>
      <c r="BG31" s="338"/>
      <c r="BH31" s="338" t="s">
        <v>621</v>
      </c>
      <c r="BI31" s="338"/>
      <c r="BJ31" s="245"/>
      <c r="BK31" s="338" t="s">
        <v>576</v>
      </c>
      <c r="BL31" s="338" t="s">
        <v>103</v>
      </c>
      <c r="BM31" s="338" t="s">
        <v>577</v>
      </c>
      <c r="BO31" s="248"/>
      <c r="BP31" s="338" t="s">
        <v>619</v>
      </c>
      <c r="BQ31" s="338" t="s">
        <v>620</v>
      </c>
      <c r="BR31" s="338"/>
      <c r="BS31" s="338" t="s">
        <v>621</v>
      </c>
      <c r="BT31" s="338"/>
      <c r="BU31" s="245"/>
      <c r="BV31" s="338" t="s">
        <v>576</v>
      </c>
      <c r="BW31" s="338" t="s">
        <v>103</v>
      </c>
      <c r="BX31" s="338" t="s">
        <v>577</v>
      </c>
      <c r="BZ31" s="248"/>
      <c r="CA31" s="338" t="s">
        <v>619</v>
      </c>
      <c r="CB31" s="338" t="s">
        <v>620</v>
      </c>
      <c r="CC31" s="338"/>
      <c r="CD31" s="338" t="s">
        <v>621</v>
      </c>
      <c r="CE31" s="338"/>
      <c r="CF31" s="245"/>
      <c r="CG31" s="338" t="s">
        <v>576</v>
      </c>
      <c r="CH31" s="338" t="s">
        <v>103</v>
      </c>
      <c r="CI31" s="338" t="s">
        <v>577</v>
      </c>
      <c r="CK31" s="248"/>
      <c r="CL31" s="338" t="s">
        <v>619</v>
      </c>
      <c r="CM31" s="338" t="s">
        <v>620</v>
      </c>
      <c r="CN31" s="338"/>
      <c r="CO31" s="338" t="s">
        <v>621</v>
      </c>
      <c r="CP31" s="338"/>
      <c r="CQ31" s="245"/>
      <c r="CR31" s="338" t="s">
        <v>576</v>
      </c>
      <c r="CS31" s="338" t="s">
        <v>103</v>
      </c>
      <c r="CT31" s="338" t="s">
        <v>577</v>
      </c>
      <c r="CV31" s="248"/>
      <c r="CW31" s="258"/>
      <c r="CX31" s="258"/>
      <c r="CY31" s="258"/>
      <c r="CZ31" s="258"/>
      <c r="DA31" s="258"/>
      <c r="DB31" s="346"/>
      <c r="DC31" s="258"/>
      <c r="DD31" s="258"/>
      <c r="DE31" s="258"/>
      <c r="DG31" s="250"/>
      <c r="DH31" s="339">
        <v>3.84</v>
      </c>
      <c r="DI31" s="339">
        <v>1.97</v>
      </c>
      <c r="DJ31" s="339">
        <v>1.88</v>
      </c>
      <c r="DK31" s="254">
        <v>0.28299999999999997</v>
      </c>
      <c r="DL31" s="257">
        <v>1</v>
      </c>
      <c r="DM31" s="585">
        <f>((PI()*DJ31*DK31/4)*(DH31^2-DI31^2))*DL31</f>
        <v>4.5399587311768181</v>
      </c>
      <c r="DN31" s="257">
        <f>(((DM31/386.4)*(DH31^2+DI31^2))/8)</f>
        <v>2.7356218072678896E-2</v>
      </c>
      <c r="DO31" s="257">
        <f>IF(DO37=0,1,DO37)</f>
        <v>5</v>
      </c>
      <c r="DP31" s="257">
        <f>(DN31/(DO31^2))</f>
        <v>1.0942487229071559E-3</v>
      </c>
      <c r="DR31" s="250">
        <v>-68</v>
      </c>
      <c r="DS31" s="341">
        <v>6</v>
      </c>
      <c r="DT31" s="341">
        <v>1.97</v>
      </c>
      <c r="DU31" s="258">
        <v>0.88</v>
      </c>
      <c r="DV31" s="251">
        <v>0.28299999999999997</v>
      </c>
      <c r="DW31" s="257">
        <v>1</v>
      </c>
      <c r="DX31" s="585">
        <f>((PI()*DU31*DV31/4)*(DS31^2-DT31^2))*DW31</f>
        <v>6.2823533066307657</v>
      </c>
      <c r="DY31" s="257">
        <f>(((DX31/386.4)*(DS31^2+DT31^2))/8)</f>
        <v>8.1051340575314088E-2</v>
      </c>
      <c r="DZ31" s="258">
        <f>DZ37</f>
        <v>5</v>
      </c>
      <c r="EA31" s="257">
        <f>(DY31/(DZ31^2))</f>
        <v>3.2420536230125634E-3</v>
      </c>
      <c r="EC31" s="250">
        <v>-68</v>
      </c>
      <c r="ED31" s="341"/>
      <c r="EE31" s="341"/>
      <c r="EF31" s="258"/>
      <c r="EG31" s="251"/>
      <c r="EH31" s="245"/>
      <c r="EI31" s="584"/>
      <c r="EJ31" s="348"/>
      <c r="EK31" s="341"/>
      <c r="EL31" s="349"/>
    </row>
    <row r="32" spans="1:142" ht="15.75" x14ac:dyDescent="0.25">
      <c r="A32" s="250" t="s">
        <v>622</v>
      </c>
      <c r="B32" s="245"/>
      <c r="C32" s="245"/>
      <c r="D32" s="245"/>
      <c r="E32" s="257">
        <v>1</v>
      </c>
      <c r="F32" s="257">
        <v>0</v>
      </c>
      <c r="G32" s="245"/>
      <c r="H32" s="257">
        <v>0</v>
      </c>
      <c r="I32" s="257">
        <v>0</v>
      </c>
      <c r="J32" s="257">
        <f>H32*F32</f>
        <v>0</v>
      </c>
      <c r="L32" s="250" t="s">
        <v>622</v>
      </c>
      <c r="M32" s="245"/>
      <c r="N32" s="245"/>
      <c r="O32" s="245"/>
      <c r="P32" s="257">
        <v>1</v>
      </c>
      <c r="Q32" s="257">
        <v>0</v>
      </c>
      <c r="R32" s="245"/>
      <c r="S32" s="257">
        <v>0</v>
      </c>
      <c r="T32" s="257">
        <v>0</v>
      </c>
      <c r="U32" s="257">
        <f>S32*T32</f>
        <v>0</v>
      </c>
      <c r="W32" s="250" t="s">
        <v>622</v>
      </c>
      <c r="X32" s="245"/>
      <c r="Y32" s="245"/>
      <c r="Z32" s="245"/>
      <c r="AA32" s="257">
        <v>1</v>
      </c>
      <c r="AB32" s="257">
        <v>0</v>
      </c>
      <c r="AC32" s="245"/>
      <c r="AD32" s="257">
        <v>0</v>
      </c>
      <c r="AE32" s="257">
        <v>0</v>
      </c>
      <c r="AF32" s="257">
        <f>AD32*AE32</f>
        <v>0</v>
      </c>
      <c r="AH32" s="250" t="s">
        <v>622</v>
      </c>
      <c r="AI32" s="245"/>
      <c r="AJ32" s="245"/>
      <c r="AK32" s="245"/>
      <c r="AL32" s="257">
        <v>1</v>
      </c>
      <c r="AM32" s="257">
        <v>0</v>
      </c>
      <c r="AN32" s="245"/>
      <c r="AO32" s="257">
        <v>0</v>
      </c>
      <c r="AP32" s="257">
        <v>0</v>
      </c>
      <c r="AQ32" s="257">
        <f>AO32*AP32</f>
        <v>0</v>
      </c>
      <c r="AS32" s="248"/>
      <c r="AT32" s="338"/>
      <c r="AU32" s="338"/>
      <c r="AV32" s="338"/>
      <c r="AW32" s="338"/>
      <c r="AX32" s="338"/>
      <c r="AY32" s="245"/>
      <c r="AZ32" s="338"/>
      <c r="BA32" s="338"/>
      <c r="BB32" s="338"/>
      <c r="BD32" s="248"/>
      <c r="BE32" s="338"/>
      <c r="BF32" s="338"/>
      <c r="BG32" s="338"/>
      <c r="BH32" s="338"/>
      <c r="BI32" s="338"/>
      <c r="BJ32" s="245"/>
      <c r="BK32" s="338"/>
      <c r="BL32" s="338"/>
      <c r="BM32" s="338"/>
      <c r="BO32" s="248"/>
      <c r="BP32" s="338"/>
      <c r="BQ32" s="338"/>
      <c r="BR32" s="338"/>
      <c r="BS32" s="338"/>
      <c r="BT32" s="338"/>
      <c r="BU32" s="245"/>
      <c r="BV32" s="338"/>
      <c r="BW32" s="338"/>
      <c r="BX32" s="338"/>
      <c r="BZ32" s="248"/>
      <c r="CA32" s="338"/>
      <c r="CB32" s="338"/>
      <c r="CC32" s="338"/>
      <c r="CD32" s="338"/>
      <c r="CE32" s="338"/>
      <c r="CF32" s="245"/>
      <c r="CG32" s="338"/>
      <c r="CH32" s="338"/>
      <c r="CI32" s="338"/>
      <c r="CK32" s="248"/>
      <c r="CL32" s="338"/>
      <c r="CM32" s="338"/>
      <c r="CN32" s="338"/>
      <c r="CO32" s="338"/>
      <c r="CP32" s="338"/>
      <c r="CQ32" s="245"/>
      <c r="CR32" s="338"/>
      <c r="CS32" s="338"/>
      <c r="CT32" s="338"/>
      <c r="CV32" s="248"/>
      <c r="CW32" s="258"/>
      <c r="CX32" s="258"/>
      <c r="CY32" s="258"/>
      <c r="CZ32" s="258"/>
      <c r="DA32" s="258"/>
      <c r="DB32" s="346"/>
      <c r="DC32" s="258"/>
      <c r="DD32" s="258"/>
      <c r="DE32" s="258"/>
      <c r="DG32" s="248"/>
      <c r="DH32" s="258"/>
      <c r="DI32" s="258"/>
      <c r="DJ32" s="258"/>
      <c r="DK32" s="258"/>
      <c r="DL32" s="258"/>
      <c r="DM32" s="346"/>
      <c r="DN32" s="258"/>
      <c r="DO32" s="258"/>
      <c r="DP32" s="258"/>
      <c r="DR32" s="250"/>
      <c r="DS32" s="341">
        <v>3.84</v>
      </c>
      <c r="DT32" s="341">
        <v>1.97</v>
      </c>
      <c r="DU32" s="258">
        <v>1.88</v>
      </c>
      <c r="DV32" s="251">
        <v>0.28299999999999997</v>
      </c>
      <c r="DW32" s="257">
        <v>1</v>
      </c>
      <c r="DX32" s="585">
        <f>((PI()*DU32*DV32/4)*(DS32^2-DT32^2))*DW32</f>
        <v>4.5399587311768181</v>
      </c>
      <c r="DY32" s="257">
        <f>(((DX32/386.4)*(DS32^2+DT32^2))/8)</f>
        <v>2.7356218072678896E-2</v>
      </c>
      <c r="DZ32" s="258">
        <f>DZ37</f>
        <v>5</v>
      </c>
      <c r="EA32" s="257">
        <f>(DY32/(DZ32^2))</f>
        <v>1.0942487229071559E-3</v>
      </c>
      <c r="EC32" s="250"/>
      <c r="ED32" s="341"/>
      <c r="EE32" s="341"/>
      <c r="EF32" s="258"/>
      <c r="EG32" s="343"/>
      <c r="EH32" s="245"/>
      <c r="EI32" s="584"/>
      <c r="EJ32" s="348"/>
      <c r="EK32" s="341"/>
      <c r="EL32" s="349"/>
    </row>
    <row r="33" spans="1:142" ht="15.75" x14ac:dyDescent="0.25">
      <c r="A33" s="250"/>
      <c r="B33" s="245"/>
      <c r="C33" s="245"/>
      <c r="D33" s="245"/>
      <c r="E33" s="245"/>
      <c r="F33" s="245"/>
      <c r="G33" s="245"/>
      <c r="H33" s="245"/>
      <c r="I33" s="245"/>
      <c r="J33" s="245"/>
      <c r="L33" s="250"/>
      <c r="M33" s="245"/>
      <c r="N33" s="245"/>
      <c r="O33" s="245"/>
      <c r="P33" s="245"/>
      <c r="Q33" s="245"/>
      <c r="R33" s="245"/>
      <c r="S33" s="245"/>
      <c r="T33" s="245"/>
      <c r="U33" s="245"/>
      <c r="W33" s="250"/>
      <c r="X33" s="245"/>
      <c r="Y33" s="245"/>
      <c r="Z33" s="245"/>
      <c r="AA33" s="245"/>
      <c r="AB33" s="245"/>
      <c r="AC33" s="245"/>
      <c r="AD33" s="245"/>
      <c r="AE33" s="245"/>
      <c r="AF33" s="245"/>
      <c r="AH33" s="250"/>
      <c r="AI33" s="245"/>
      <c r="AJ33" s="245"/>
      <c r="AK33" s="245"/>
      <c r="AL33" s="245"/>
      <c r="AM33" s="245"/>
      <c r="AN33" s="245"/>
      <c r="AO33" s="245"/>
      <c r="AP33" s="245"/>
      <c r="AQ33" s="245"/>
      <c r="AS33" s="248"/>
      <c r="AT33" s="338"/>
      <c r="AU33" s="338"/>
      <c r="AV33" s="338"/>
      <c r="AW33" s="338"/>
      <c r="AX33" s="338"/>
      <c r="AY33" s="245"/>
      <c r="AZ33" s="338"/>
      <c r="BA33" s="338"/>
      <c r="BB33" s="338"/>
      <c r="BD33" s="248"/>
      <c r="BE33" s="338"/>
      <c r="BF33" s="338"/>
      <c r="BG33" s="338"/>
      <c r="BH33" s="338"/>
      <c r="BI33" s="338"/>
      <c r="BJ33" s="245"/>
      <c r="BK33" s="338"/>
      <c r="BL33" s="338"/>
      <c r="BM33" s="338"/>
      <c r="BO33" s="248"/>
      <c r="BP33" s="338"/>
      <c r="BQ33" s="338"/>
      <c r="BR33" s="338"/>
      <c r="BS33" s="338"/>
      <c r="BT33" s="338"/>
      <c r="BU33" s="245"/>
      <c r="BV33" s="338"/>
      <c r="BW33" s="338"/>
      <c r="BX33" s="338"/>
      <c r="BZ33" s="248"/>
      <c r="CA33" s="338"/>
      <c r="CB33" s="338"/>
      <c r="CC33" s="338"/>
      <c r="CD33" s="338"/>
      <c r="CE33" s="338"/>
      <c r="CF33" s="245"/>
      <c r="CG33" s="338"/>
      <c r="CH33" s="338"/>
      <c r="CI33" s="338"/>
      <c r="CK33" s="248"/>
      <c r="CL33" s="338"/>
      <c r="CM33" s="338"/>
      <c r="CN33" s="338"/>
      <c r="CO33" s="338"/>
      <c r="CP33" s="338"/>
      <c r="CQ33" s="245"/>
      <c r="CR33" s="338"/>
      <c r="CS33" s="338"/>
      <c r="CT33" s="338"/>
      <c r="CV33" s="248"/>
      <c r="CW33" s="245"/>
      <c r="CX33" s="245"/>
      <c r="CY33" s="245"/>
      <c r="CZ33" s="245"/>
      <c r="DA33" s="245"/>
      <c r="DB33" s="245"/>
      <c r="DC33" s="245"/>
      <c r="DD33" s="245"/>
      <c r="DE33" s="245"/>
      <c r="DG33" s="248"/>
      <c r="DH33" s="258"/>
      <c r="DI33" s="258"/>
      <c r="DJ33" s="258"/>
      <c r="DK33" s="258"/>
      <c r="DL33" s="258"/>
      <c r="DM33" s="346"/>
      <c r="DN33" s="258"/>
      <c r="DO33" s="258"/>
      <c r="DP33" s="258"/>
      <c r="DR33" s="248"/>
      <c r="DS33" s="245"/>
      <c r="DT33" s="245"/>
      <c r="DU33" s="245"/>
      <c r="DV33" s="245"/>
      <c r="DW33" s="245"/>
      <c r="DX33" s="245"/>
      <c r="DY33" s="245"/>
      <c r="DZ33" s="245"/>
      <c r="EA33" s="245"/>
      <c r="EC33" s="248"/>
      <c r="ED33" s="245"/>
      <c r="EE33" s="245"/>
      <c r="EF33" s="245"/>
      <c r="EG33" s="245"/>
      <c r="EH33" s="245"/>
      <c r="EI33" s="245"/>
      <c r="EJ33" s="245"/>
      <c r="EK33" s="245"/>
      <c r="EL33" s="245"/>
    </row>
    <row r="34" spans="1:142" ht="15.75" x14ac:dyDescent="0.25">
      <c r="A34" s="250"/>
      <c r="B34" s="245"/>
      <c r="C34" s="245"/>
      <c r="D34" s="245"/>
      <c r="E34" s="245"/>
      <c r="F34" s="245"/>
      <c r="G34" s="245"/>
      <c r="H34" s="245"/>
      <c r="I34" s="245"/>
      <c r="J34" s="245"/>
      <c r="L34" s="250"/>
      <c r="M34" s="245"/>
      <c r="N34" s="245"/>
      <c r="O34" s="245"/>
      <c r="P34" s="245"/>
      <c r="Q34" s="245"/>
      <c r="R34" s="245"/>
      <c r="S34" s="245"/>
      <c r="T34" s="245"/>
      <c r="U34" s="245"/>
      <c r="W34" s="250"/>
      <c r="X34" s="245"/>
      <c r="Y34" s="245"/>
      <c r="Z34" s="245"/>
      <c r="AA34" s="245"/>
      <c r="AB34" s="245"/>
      <c r="AC34" s="245"/>
      <c r="AD34" s="245"/>
      <c r="AE34" s="245"/>
      <c r="AF34" s="245"/>
      <c r="AH34" s="250"/>
      <c r="AI34" s="245"/>
      <c r="AJ34" s="245"/>
      <c r="AK34" s="245"/>
      <c r="AL34" s="245"/>
      <c r="AM34" s="245"/>
      <c r="AN34" s="245"/>
      <c r="AO34" s="245"/>
      <c r="AP34" s="245"/>
      <c r="AQ34" s="245"/>
      <c r="AS34" s="250" t="s">
        <v>622</v>
      </c>
      <c r="AT34" s="245"/>
      <c r="AU34" s="245"/>
      <c r="AV34" s="245"/>
      <c r="AW34" s="257">
        <v>1</v>
      </c>
      <c r="AX34" s="257">
        <v>0</v>
      </c>
      <c r="AY34" s="245"/>
      <c r="AZ34" s="257">
        <v>0</v>
      </c>
      <c r="BA34" s="257">
        <v>0</v>
      </c>
      <c r="BB34" s="257">
        <f>AZ34*BA34</f>
        <v>0</v>
      </c>
      <c r="BD34" s="250" t="s">
        <v>622</v>
      </c>
      <c r="BE34" s="245"/>
      <c r="BF34" s="245"/>
      <c r="BG34" s="245"/>
      <c r="BH34" s="257">
        <v>1</v>
      </c>
      <c r="BI34" s="257">
        <v>0</v>
      </c>
      <c r="BJ34" s="245"/>
      <c r="BK34" s="257">
        <v>0</v>
      </c>
      <c r="BL34" s="257">
        <v>0</v>
      </c>
      <c r="BM34" s="257">
        <f>BK34*BL34</f>
        <v>0</v>
      </c>
      <c r="BO34" s="250" t="s">
        <v>622</v>
      </c>
      <c r="BP34" s="245"/>
      <c r="BQ34" s="245"/>
      <c r="BR34" s="245"/>
      <c r="BS34" s="257">
        <v>1</v>
      </c>
      <c r="BT34" s="257">
        <v>0</v>
      </c>
      <c r="BU34" s="245"/>
      <c r="BV34" s="257">
        <v>0</v>
      </c>
      <c r="BW34" s="257">
        <v>0</v>
      </c>
      <c r="BX34" s="257">
        <f>BV34*BW34</f>
        <v>0</v>
      </c>
      <c r="BZ34" s="250" t="s">
        <v>622</v>
      </c>
      <c r="CA34" s="245"/>
      <c r="CB34" s="245"/>
      <c r="CC34" s="245"/>
      <c r="CD34" s="257">
        <v>1</v>
      </c>
      <c r="CE34" s="257">
        <v>0</v>
      </c>
      <c r="CF34" s="245"/>
      <c r="CG34" s="257">
        <v>8.0000000000000002E-3</v>
      </c>
      <c r="CH34" s="257" t="e">
        <f ca="1">Ratio</f>
        <v>#N/A</v>
      </c>
      <c r="CI34" s="257" t="e">
        <f ca="1">CG34*CH34</f>
        <v>#N/A</v>
      </c>
      <c r="CK34" s="250" t="s">
        <v>622</v>
      </c>
      <c r="CL34" s="245"/>
      <c r="CM34" s="245"/>
      <c r="CN34" s="245"/>
      <c r="CO34" s="257">
        <v>1</v>
      </c>
      <c r="CP34" s="257">
        <v>0</v>
      </c>
      <c r="CQ34" s="245"/>
      <c r="CR34" s="257">
        <v>0</v>
      </c>
      <c r="CS34" s="257">
        <v>1</v>
      </c>
      <c r="CT34" s="257">
        <f>CR34*CS34</f>
        <v>0</v>
      </c>
      <c r="CV34" s="248"/>
      <c r="CW34" s="338" t="s">
        <v>619</v>
      </c>
      <c r="CX34" s="338" t="s">
        <v>620</v>
      </c>
      <c r="CY34" s="338"/>
      <c r="CZ34" s="338" t="s">
        <v>621</v>
      </c>
      <c r="DA34" s="338" t="s">
        <v>574</v>
      </c>
      <c r="DB34" s="245"/>
      <c r="DC34" s="338" t="s">
        <v>576</v>
      </c>
      <c r="DD34" s="338" t="s">
        <v>103</v>
      </c>
      <c r="DE34" s="338" t="s">
        <v>577</v>
      </c>
      <c r="DG34" s="248"/>
      <c r="DH34" s="338" t="s">
        <v>619</v>
      </c>
      <c r="DI34" s="338" t="s">
        <v>620</v>
      </c>
      <c r="DJ34" s="338"/>
      <c r="DK34" s="338" t="s">
        <v>621</v>
      </c>
      <c r="DL34" s="338" t="s">
        <v>574</v>
      </c>
      <c r="DM34" s="245"/>
      <c r="DN34" s="338" t="s">
        <v>576</v>
      </c>
      <c r="DO34" s="338" t="s">
        <v>103</v>
      </c>
      <c r="DP34" s="338" t="s">
        <v>577</v>
      </c>
      <c r="DR34" s="248"/>
      <c r="DS34" s="338" t="s">
        <v>619</v>
      </c>
      <c r="DT34" s="338" t="s">
        <v>620</v>
      </c>
      <c r="DU34" s="338"/>
      <c r="DV34" s="338" t="s">
        <v>621</v>
      </c>
      <c r="DW34" s="338" t="s">
        <v>574</v>
      </c>
      <c r="DX34" s="245"/>
      <c r="DY34" s="338" t="s">
        <v>576</v>
      </c>
      <c r="DZ34" s="338" t="s">
        <v>103</v>
      </c>
      <c r="EA34" s="338" t="s">
        <v>577</v>
      </c>
      <c r="EC34" s="248"/>
      <c r="ED34" s="338" t="s">
        <v>619</v>
      </c>
      <c r="EE34" s="338" t="s">
        <v>620</v>
      </c>
      <c r="EF34" s="338"/>
      <c r="EG34" s="338" t="s">
        <v>621</v>
      </c>
      <c r="EH34" s="338" t="s">
        <v>574</v>
      </c>
      <c r="EI34" s="245"/>
      <c r="EJ34" s="338" t="s">
        <v>576</v>
      </c>
      <c r="EK34" s="338" t="s">
        <v>103</v>
      </c>
      <c r="EL34" s="338" t="s">
        <v>577</v>
      </c>
    </row>
    <row r="35" spans="1:142" ht="15.75" x14ac:dyDescent="0.25">
      <c r="A35" s="250"/>
      <c r="B35" s="338" t="s">
        <v>114</v>
      </c>
      <c r="C35" s="338" t="s">
        <v>623</v>
      </c>
      <c r="D35" s="338" t="s">
        <v>624</v>
      </c>
      <c r="E35" s="338" t="s">
        <v>625</v>
      </c>
      <c r="F35" s="338" t="s">
        <v>626</v>
      </c>
      <c r="G35" s="338" t="s">
        <v>575</v>
      </c>
      <c r="H35" s="338" t="s">
        <v>576</v>
      </c>
      <c r="I35" s="338" t="s">
        <v>103</v>
      </c>
      <c r="J35" s="338" t="s">
        <v>577</v>
      </c>
      <c r="L35" s="250"/>
      <c r="M35" s="338" t="s">
        <v>114</v>
      </c>
      <c r="N35" s="338" t="s">
        <v>623</v>
      </c>
      <c r="O35" s="338" t="s">
        <v>624</v>
      </c>
      <c r="P35" s="338" t="s">
        <v>625</v>
      </c>
      <c r="Q35" s="338" t="s">
        <v>626</v>
      </c>
      <c r="R35" s="338" t="s">
        <v>575</v>
      </c>
      <c r="S35" s="338" t="s">
        <v>576</v>
      </c>
      <c r="T35" s="338" t="s">
        <v>103</v>
      </c>
      <c r="U35" s="338" t="s">
        <v>577</v>
      </c>
      <c r="W35" s="250"/>
      <c r="X35" s="338" t="s">
        <v>114</v>
      </c>
      <c r="Y35" s="338" t="s">
        <v>623</v>
      </c>
      <c r="Z35" s="338" t="s">
        <v>624</v>
      </c>
      <c r="AA35" s="338" t="s">
        <v>625</v>
      </c>
      <c r="AB35" s="338" t="s">
        <v>627</v>
      </c>
      <c r="AC35" s="338" t="s">
        <v>575</v>
      </c>
      <c r="AD35" s="338" t="s">
        <v>576</v>
      </c>
      <c r="AE35" s="338" t="s">
        <v>103</v>
      </c>
      <c r="AF35" s="338" t="s">
        <v>577</v>
      </c>
      <c r="AH35" s="250"/>
      <c r="AI35" s="338" t="s">
        <v>114</v>
      </c>
      <c r="AJ35" s="338" t="s">
        <v>623</v>
      </c>
      <c r="AK35" s="338" t="s">
        <v>624</v>
      </c>
      <c r="AL35" s="338" t="s">
        <v>625</v>
      </c>
      <c r="AM35" s="338" t="s">
        <v>627</v>
      </c>
      <c r="AN35" s="338" t="s">
        <v>575</v>
      </c>
      <c r="AO35" s="338" t="s">
        <v>576</v>
      </c>
      <c r="AP35" s="338" t="s">
        <v>103</v>
      </c>
      <c r="AQ35" s="338" t="s">
        <v>577</v>
      </c>
      <c r="AS35" s="250"/>
      <c r="AT35" s="245"/>
      <c r="AU35" s="245"/>
      <c r="AV35" s="245"/>
      <c r="AW35" s="245"/>
      <c r="AX35" s="245"/>
      <c r="AY35" s="245"/>
      <c r="AZ35" s="245"/>
      <c r="BA35" s="245"/>
      <c r="BB35" s="245"/>
      <c r="BD35" s="250"/>
      <c r="BE35" s="245"/>
      <c r="BF35" s="245"/>
      <c r="BG35" s="245"/>
      <c r="BH35" s="245"/>
      <c r="BI35" s="245"/>
      <c r="BJ35" s="245"/>
      <c r="BK35" s="245"/>
      <c r="BL35" s="245"/>
      <c r="BM35" s="245"/>
      <c r="BO35" s="250"/>
      <c r="BP35" s="245"/>
      <c r="BQ35" s="245"/>
      <c r="BR35" s="245"/>
      <c r="BS35" s="245"/>
      <c r="BT35" s="245"/>
      <c r="BU35" s="245"/>
      <c r="BV35" s="245"/>
      <c r="BW35" s="245"/>
      <c r="BX35" s="245"/>
      <c r="BZ35" s="250"/>
      <c r="CA35" s="245"/>
      <c r="CB35" s="245"/>
      <c r="CC35" s="245"/>
      <c r="CD35" s="245"/>
      <c r="CE35" s="245"/>
      <c r="CF35" s="245"/>
      <c r="CG35" s="245"/>
      <c r="CH35" s="245"/>
      <c r="CI35" s="245"/>
      <c r="CK35" s="250"/>
      <c r="CL35" s="245"/>
      <c r="CM35" s="245"/>
      <c r="CN35" s="245"/>
      <c r="CO35" s="245"/>
      <c r="CP35" s="245"/>
      <c r="CQ35" s="245"/>
      <c r="CR35" s="245"/>
      <c r="CS35" s="245"/>
      <c r="CT35" s="245"/>
      <c r="CV35" s="248"/>
      <c r="CW35" s="338"/>
      <c r="CX35" s="338"/>
      <c r="CY35" s="338"/>
      <c r="CZ35" s="338"/>
      <c r="DA35" s="338"/>
      <c r="DB35" s="245"/>
      <c r="DC35" s="338"/>
      <c r="DD35" s="338"/>
      <c r="DE35" s="338"/>
      <c r="DG35" s="248"/>
      <c r="DH35" s="338"/>
      <c r="DI35" s="338"/>
      <c r="DJ35" s="338"/>
      <c r="DK35" s="338"/>
      <c r="DL35" s="338"/>
      <c r="DM35" s="245"/>
      <c r="DN35" s="338"/>
      <c r="DO35" s="338"/>
      <c r="DP35" s="338"/>
      <c r="DR35" s="248"/>
      <c r="DS35" s="338"/>
      <c r="DT35" s="338"/>
      <c r="DU35" s="338"/>
      <c r="DV35" s="338"/>
      <c r="DW35" s="338"/>
      <c r="DX35" s="245"/>
      <c r="DY35" s="338"/>
      <c r="DZ35" s="338"/>
      <c r="EA35" s="338"/>
      <c r="EC35" s="248"/>
      <c r="ED35" s="338"/>
      <c r="EE35" s="338"/>
      <c r="EF35" s="338"/>
      <c r="EG35" s="338"/>
      <c r="EH35" s="338"/>
      <c r="EI35" s="245"/>
      <c r="EJ35" s="338"/>
      <c r="EK35" s="338"/>
      <c r="EL35" s="338"/>
    </row>
    <row r="36" spans="1:142" ht="15.75" x14ac:dyDescent="0.25">
      <c r="A36" s="250" t="s">
        <v>628</v>
      </c>
      <c r="B36" s="338">
        <f ca="1">MatWidth</f>
        <v>16</v>
      </c>
      <c r="C36" s="338">
        <f ca="1">MatThickness</f>
        <v>0.3</v>
      </c>
      <c r="D36" s="338">
        <f ca="1">MatLnFLT</f>
        <v>48</v>
      </c>
      <c r="E36" s="338">
        <f ca="1">MatDensity</f>
        <v>0.28299999999999997</v>
      </c>
      <c r="F36" s="338">
        <f ca="1">MatLoop</f>
        <v>678.58401317539528</v>
      </c>
      <c r="G36" s="257">
        <f ca="1">B36*C36*E36*F36</f>
        <v>921.78852349745682</v>
      </c>
      <c r="H36" s="257">
        <f ca="1">((B36*C36*D36*E36)/32.3)*(((B7*0.5)^2)/144)*12</f>
        <v>0.28979024767801853</v>
      </c>
      <c r="I36" s="257" t="e">
        <f ca="1">Ratio</f>
        <v>#N/A</v>
      </c>
      <c r="J36" s="257" t="e">
        <f ca="1">H36/(I36^2)</f>
        <v>#N/A</v>
      </c>
      <c r="L36" s="250" t="s">
        <v>628</v>
      </c>
      <c r="M36" s="338">
        <f ca="1">MatWidth</f>
        <v>16</v>
      </c>
      <c r="N36" s="338">
        <f ca="1">MatThickness</f>
        <v>0.3</v>
      </c>
      <c r="O36" s="338">
        <f ca="1">MatLnFLT</f>
        <v>48</v>
      </c>
      <c r="P36" s="338">
        <f ca="1">MatDensity</f>
        <v>0.28299999999999997</v>
      </c>
      <c r="Q36" s="338">
        <f ca="1">MatLoop</f>
        <v>678.58401317539528</v>
      </c>
      <c r="R36" s="257">
        <f ca="1">M36*N36*P36*Q36</f>
        <v>921.78852349745682</v>
      </c>
      <c r="S36" s="257">
        <f ca="1">((M36*N36*O36*P36)/32.3)*(((M7*0.5)^2)/144)*12</f>
        <v>0.212907120743034</v>
      </c>
      <c r="T36" s="257" t="e">
        <f ca="1">Ratio</f>
        <v>#N/A</v>
      </c>
      <c r="U36" s="257" t="e">
        <f ca="1">S36/(T36^2)</f>
        <v>#N/A</v>
      </c>
      <c r="W36" s="250" t="s">
        <v>628</v>
      </c>
      <c r="X36" s="338">
        <f ca="1">MatWidth</f>
        <v>16</v>
      </c>
      <c r="Y36" s="338">
        <f ca="1">MatThickness</f>
        <v>0.3</v>
      </c>
      <c r="Z36" s="338">
        <f ca="1">MatLnFLT</f>
        <v>48</v>
      </c>
      <c r="AA36" s="338">
        <f ca="1">MatDensity</f>
        <v>0.28299999999999997</v>
      </c>
      <c r="AB36" s="338">
        <f ca="1">MatLoop</f>
        <v>678.58401317539528</v>
      </c>
      <c r="AC36" s="257">
        <f ca="1">X36*Y36*AA36*AB36</f>
        <v>921.78852349745682</v>
      </c>
      <c r="AD36" s="257">
        <f ca="1">((X36*Y36*Z36*AA36)/32.3)*(((X7*0.5)^2)/144)*12</f>
        <v>0.37850154798761604</v>
      </c>
      <c r="AE36" s="257" t="e">
        <f ca="1">Ratio</f>
        <v>#N/A</v>
      </c>
      <c r="AF36" s="257" t="e">
        <f ca="1">AD36/(AE36^2)</f>
        <v>#N/A</v>
      </c>
      <c r="AH36" s="250" t="s">
        <v>628</v>
      </c>
      <c r="AI36" s="338">
        <f ca="1">MatWidth</f>
        <v>16</v>
      </c>
      <c r="AJ36" s="338">
        <f ca="1">MatThickness</f>
        <v>0.3</v>
      </c>
      <c r="AK36" s="338">
        <f ca="1">MatLnFLT</f>
        <v>48</v>
      </c>
      <c r="AL36" s="338">
        <f ca="1">MatDensity</f>
        <v>0.28299999999999997</v>
      </c>
      <c r="AM36" s="338">
        <f ca="1">MatLoop</f>
        <v>678.58401317539528</v>
      </c>
      <c r="AN36" s="257">
        <f ca="1">AI36*AJ36*AL36*AM36</f>
        <v>921.78852349745682</v>
      </c>
      <c r="AO36" s="257">
        <f ca="1">((AI36*AJ36*AK36*AL36)/32.3)*(((AI7*0.5)^2)/144)*12</f>
        <v>0.37850154798761604</v>
      </c>
      <c r="AP36" s="257" t="e">
        <f ca="1">Ratio</f>
        <v>#N/A</v>
      </c>
      <c r="AQ36" s="257" t="e">
        <f ca="1">AO36/(AP36^2)</f>
        <v>#N/A</v>
      </c>
      <c r="AS36" s="250"/>
      <c r="AT36" s="245"/>
      <c r="AU36" s="245"/>
      <c r="AV36" s="245"/>
      <c r="AW36" s="245"/>
      <c r="AX36" s="245"/>
      <c r="AY36" s="245"/>
      <c r="AZ36" s="245"/>
      <c r="BA36" s="245"/>
      <c r="BB36" s="245"/>
      <c r="BD36" s="250"/>
      <c r="BE36" s="245"/>
      <c r="BF36" s="245"/>
      <c r="BG36" s="245"/>
      <c r="BH36" s="245"/>
      <c r="BI36" s="245"/>
      <c r="BJ36" s="245"/>
      <c r="BK36" s="245"/>
      <c r="BL36" s="245"/>
      <c r="BM36" s="245"/>
      <c r="BO36" s="250"/>
      <c r="BP36" s="245"/>
      <c r="BQ36" s="245"/>
      <c r="BR36" s="245"/>
      <c r="BS36" s="245"/>
      <c r="BT36" s="245"/>
      <c r="BU36" s="245"/>
      <c r="BV36" s="245"/>
      <c r="BW36" s="245"/>
      <c r="BX36" s="245"/>
      <c r="BZ36" s="250"/>
      <c r="CA36" s="245"/>
      <c r="CB36" s="245"/>
      <c r="CC36" s="245"/>
      <c r="CD36" s="245"/>
      <c r="CE36" s="245"/>
      <c r="CF36" s="245"/>
      <c r="CG36" s="245"/>
      <c r="CH36" s="245"/>
      <c r="CI36" s="245"/>
      <c r="CK36" s="250"/>
      <c r="CL36" s="245"/>
      <c r="CM36" s="245"/>
      <c r="CN36" s="245"/>
      <c r="CO36" s="245"/>
      <c r="CP36" s="245"/>
      <c r="CQ36" s="245"/>
      <c r="CR36" s="245"/>
      <c r="CS36" s="245"/>
      <c r="CT36" s="245"/>
      <c r="CV36" s="248"/>
      <c r="CW36" s="338"/>
      <c r="CX36" s="338"/>
      <c r="CY36" s="338"/>
      <c r="CZ36" s="338"/>
      <c r="DA36" s="338"/>
      <c r="DB36" s="245"/>
      <c r="DC36" s="338"/>
      <c r="DD36" s="338"/>
      <c r="DE36" s="338"/>
      <c r="DG36" s="248"/>
      <c r="DH36" s="338"/>
      <c r="DI36" s="338"/>
      <c r="DJ36" s="338"/>
      <c r="DK36" s="338"/>
      <c r="DL36" s="338"/>
      <c r="DM36" s="245"/>
      <c r="DN36" s="338"/>
      <c r="DO36" s="338"/>
      <c r="DP36" s="338"/>
      <c r="DR36" s="248"/>
      <c r="DS36" s="338"/>
      <c r="DT36" s="338"/>
      <c r="DU36" s="338"/>
      <c r="DV36" s="338"/>
      <c r="DW36" s="338"/>
      <c r="DX36" s="245"/>
      <c r="DY36" s="338"/>
      <c r="DZ36" s="338"/>
      <c r="EA36" s="338"/>
      <c r="EC36" s="248"/>
      <c r="ED36" s="338"/>
      <c r="EE36" s="338"/>
      <c r="EF36" s="338"/>
      <c r="EG36" s="338"/>
      <c r="EH36" s="338"/>
      <c r="EI36" s="245"/>
      <c r="EJ36" s="338"/>
      <c r="EK36" s="338"/>
      <c r="EL36" s="338"/>
    </row>
    <row r="37" spans="1:142" ht="15.75" x14ac:dyDescent="0.25">
      <c r="A37" s="250"/>
      <c r="B37" s="261"/>
      <c r="C37" s="245"/>
      <c r="D37" s="245"/>
      <c r="E37" s="245"/>
      <c r="F37" s="245"/>
      <c r="G37" s="245"/>
      <c r="H37" s="245"/>
      <c r="I37" s="245"/>
      <c r="J37" s="245"/>
      <c r="L37" s="250"/>
      <c r="M37" s="261"/>
      <c r="N37" s="245"/>
      <c r="O37" s="245"/>
      <c r="P37" s="245"/>
      <c r="Q37" s="245"/>
      <c r="R37" s="245"/>
      <c r="S37" s="245"/>
      <c r="T37" s="245"/>
      <c r="U37" s="245"/>
      <c r="W37" s="250"/>
      <c r="X37" s="261"/>
      <c r="Y37" s="245"/>
      <c r="Z37" s="245"/>
      <c r="AA37" s="245"/>
      <c r="AB37" s="245"/>
      <c r="AC37" s="245"/>
      <c r="AD37" s="245"/>
      <c r="AE37" s="245"/>
      <c r="AF37" s="245"/>
      <c r="AH37" s="250"/>
      <c r="AI37" s="261"/>
      <c r="AJ37" s="245"/>
      <c r="AK37" s="245"/>
      <c r="AL37" s="245"/>
      <c r="AM37" s="245"/>
      <c r="AN37" s="245"/>
      <c r="AO37" s="245"/>
      <c r="AP37" s="245"/>
      <c r="AQ37" s="245"/>
      <c r="AS37" s="250"/>
      <c r="AT37" s="338" t="s">
        <v>114</v>
      </c>
      <c r="AU37" s="338" t="s">
        <v>623</v>
      </c>
      <c r="AV37" s="338" t="s">
        <v>624</v>
      </c>
      <c r="AW37" s="338" t="s">
        <v>625</v>
      </c>
      <c r="AX37" s="338" t="s">
        <v>626</v>
      </c>
      <c r="AY37" s="338" t="s">
        <v>575</v>
      </c>
      <c r="AZ37" s="338" t="s">
        <v>576</v>
      </c>
      <c r="BA37" s="338" t="s">
        <v>103</v>
      </c>
      <c r="BB37" s="338" t="s">
        <v>577</v>
      </c>
      <c r="BD37" s="250"/>
      <c r="BE37" s="338" t="s">
        <v>114</v>
      </c>
      <c r="BF37" s="338" t="s">
        <v>623</v>
      </c>
      <c r="BG37" s="338" t="s">
        <v>624</v>
      </c>
      <c r="BH37" s="338" t="s">
        <v>625</v>
      </c>
      <c r="BI37" s="338" t="s">
        <v>626</v>
      </c>
      <c r="BJ37" s="338" t="s">
        <v>575</v>
      </c>
      <c r="BK37" s="338" t="s">
        <v>576</v>
      </c>
      <c r="BL37" s="338" t="s">
        <v>103</v>
      </c>
      <c r="BM37" s="338" t="s">
        <v>577</v>
      </c>
      <c r="BO37" s="250"/>
      <c r="BP37" s="338" t="s">
        <v>114</v>
      </c>
      <c r="BQ37" s="338" t="s">
        <v>623</v>
      </c>
      <c r="BR37" s="338" t="s">
        <v>624</v>
      </c>
      <c r="BS37" s="338" t="s">
        <v>625</v>
      </c>
      <c r="BT37" s="338" t="s">
        <v>626</v>
      </c>
      <c r="BU37" s="338" t="s">
        <v>575</v>
      </c>
      <c r="BV37" s="338" t="s">
        <v>576</v>
      </c>
      <c r="BW37" s="338" t="s">
        <v>103</v>
      </c>
      <c r="BX37" s="338" t="s">
        <v>577</v>
      </c>
      <c r="BZ37" s="250"/>
      <c r="CA37" s="338" t="s">
        <v>114</v>
      </c>
      <c r="CB37" s="338" t="s">
        <v>623</v>
      </c>
      <c r="CC37" s="338" t="s">
        <v>624</v>
      </c>
      <c r="CD37" s="338" t="s">
        <v>625</v>
      </c>
      <c r="CE37" s="338" t="s">
        <v>626</v>
      </c>
      <c r="CF37" s="338" t="s">
        <v>575</v>
      </c>
      <c r="CG37" s="338" t="s">
        <v>576</v>
      </c>
      <c r="CH37" s="338" t="s">
        <v>103</v>
      </c>
      <c r="CI37" s="338" t="s">
        <v>577</v>
      </c>
      <c r="CK37" s="250"/>
      <c r="CL37" s="338" t="s">
        <v>114</v>
      </c>
      <c r="CM37" s="338" t="s">
        <v>623</v>
      </c>
      <c r="CN37" s="338" t="s">
        <v>624</v>
      </c>
      <c r="CO37" s="338" t="s">
        <v>625</v>
      </c>
      <c r="CP37" s="338" t="s">
        <v>626</v>
      </c>
      <c r="CQ37" s="338" t="s">
        <v>575</v>
      </c>
      <c r="CR37" s="338" t="s">
        <v>576</v>
      </c>
      <c r="CS37" s="338" t="s">
        <v>103</v>
      </c>
      <c r="CT37" s="338" t="s">
        <v>577</v>
      </c>
      <c r="CV37" s="250" t="s">
        <v>622</v>
      </c>
      <c r="CW37" s="1037" t="s">
        <v>1048</v>
      </c>
      <c r="CX37" s="1037"/>
      <c r="CY37" s="1038"/>
      <c r="CZ37" s="257">
        <v>0.97</v>
      </c>
      <c r="DA37" s="257">
        <v>1</v>
      </c>
      <c r="DB37" s="245"/>
      <c r="DC37" s="257">
        <v>1.2E-2</v>
      </c>
      <c r="DD37" s="257">
        <v>5</v>
      </c>
      <c r="DE37" s="257">
        <f>DC37*DA37</f>
        <v>1.2E-2</v>
      </c>
      <c r="DG37" s="250" t="s">
        <v>622</v>
      </c>
      <c r="DH37" s="1037" t="s">
        <v>1049</v>
      </c>
      <c r="DI37" s="1037"/>
      <c r="DJ37" s="1038"/>
      <c r="DK37" s="257">
        <v>0.97</v>
      </c>
      <c r="DL37" s="257">
        <v>1</v>
      </c>
      <c r="DM37" s="245"/>
      <c r="DN37" s="257">
        <v>2.1000000000000001E-2</v>
      </c>
      <c r="DO37" s="257">
        <v>5</v>
      </c>
      <c r="DP37" s="257">
        <f>DN37*DL37</f>
        <v>2.1000000000000001E-2</v>
      </c>
      <c r="DR37" s="250" t="s">
        <v>622</v>
      </c>
      <c r="DS37" s="1037" t="s">
        <v>1050</v>
      </c>
      <c r="DT37" s="1037"/>
      <c r="DU37" s="1038"/>
      <c r="DV37" s="257">
        <v>0.97</v>
      </c>
      <c r="DW37" s="257">
        <v>1</v>
      </c>
      <c r="DX37" s="245"/>
      <c r="DY37" s="257">
        <v>5.6000000000000001E-2</v>
      </c>
      <c r="DZ37" s="257">
        <v>5</v>
      </c>
      <c r="EA37" s="257">
        <f>DY37*DW37</f>
        <v>5.6000000000000001E-2</v>
      </c>
      <c r="EC37" s="250" t="s">
        <v>622</v>
      </c>
      <c r="ED37" s="1037" t="s">
        <v>1050</v>
      </c>
      <c r="EE37" s="1037"/>
      <c r="EF37" s="1038"/>
      <c r="EG37" s="257">
        <v>0.97</v>
      </c>
      <c r="EH37" s="257">
        <v>1</v>
      </c>
      <c r="EI37" s="245"/>
      <c r="EJ37" s="257">
        <v>5.6000000000000001E-2</v>
      </c>
      <c r="EK37" s="257">
        <v>5</v>
      </c>
      <c r="EL37" s="257">
        <f>EJ37*EH37</f>
        <v>5.6000000000000001E-2</v>
      </c>
    </row>
    <row r="38" spans="1:142" ht="15.75" x14ac:dyDescent="0.25">
      <c r="A38" s="250"/>
      <c r="B38" s="261"/>
      <c r="C38" s="245"/>
      <c r="D38" s="245"/>
      <c r="E38" s="245"/>
      <c r="F38" s="245"/>
      <c r="G38" s="245"/>
      <c r="H38" s="245"/>
      <c r="I38" s="245"/>
      <c r="J38" s="245"/>
      <c r="L38" s="250"/>
      <c r="M38" s="261"/>
      <c r="N38" s="245"/>
      <c r="O38" s="245"/>
      <c r="P38" s="245"/>
      <c r="Q38" s="245"/>
      <c r="R38" s="245"/>
      <c r="S38" s="245"/>
      <c r="T38" s="245"/>
      <c r="U38" s="245"/>
      <c r="W38" s="250"/>
      <c r="X38" s="261"/>
      <c r="Y38" s="245"/>
      <c r="Z38" s="245"/>
      <c r="AA38" s="245"/>
      <c r="AB38" s="245"/>
      <c r="AC38" s="245"/>
      <c r="AD38" s="245"/>
      <c r="AE38" s="245"/>
      <c r="AF38" s="245"/>
      <c r="AH38" s="250"/>
      <c r="AI38" s="261"/>
      <c r="AJ38" s="245"/>
      <c r="AK38" s="245"/>
      <c r="AL38" s="245"/>
      <c r="AM38" s="245"/>
      <c r="AN38" s="245"/>
      <c r="AO38" s="245"/>
      <c r="AP38" s="245"/>
      <c r="AQ38" s="245"/>
      <c r="AS38" s="250" t="s">
        <v>628</v>
      </c>
      <c r="AT38" s="338">
        <f ca="1">MatWidth</f>
        <v>16</v>
      </c>
      <c r="AU38" s="338">
        <f ca="1">MatThickness</f>
        <v>0.3</v>
      </c>
      <c r="AV38" s="338">
        <f ca="1">MatLnFLT</f>
        <v>48</v>
      </c>
      <c r="AW38" s="338">
        <f ca="1">MatDensity</f>
        <v>0.28299999999999997</v>
      </c>
      <c r="AX38" s="338">
        <f ca="1">MatLoop</f>
        <v>678.58401317539528</v>
      </c>
      <c r="AY38" s="257">
        <f ca="1">AT38*AU38*AW38*AX38</f>
        <v>921.78852349745682</v>
      </c>
      <c r="AZ38" s="257">
        <f ca="1">((AT38*AU38*AV38*AW38)/32.3)*(((AT7*0.5)^2)/144)*12</f>
        <v>0.37850154798761604</v>
      </c>
      <c r="BA38" s="257" t="e">
        <f ca="1">Ratio</f>
        <v>#N/A</v>
      </c>
      <c r="BB38" s="257" t="e">
        <f ca="1">AZ38/(BA38^2)</f>
        <v>#N/A</v>
      </c>
      <c r="BD38" s="250" t="s">
        <v>628</v>
      </c>
      <c r="BE38" s="338">
        <f ca="1">MatWidth</f>
        <v>16</v>
      </c>
      <c r="BF38" s="338">
        <f ca="1">MatThickness</f>
        <v>0.3</v>
      </c>
      <c r="BG38" s="338">
        <f ca="1">MatLnFLT</f>
        <v>48</v>
      </c>
      <c r="BH38" s="338">
        <f ca="1">MatDensity</f>
        <v>0.28299999999999997</v>
      </c>
      <c r="BI38" s="338">
        <f ca="1">MatLoop</f>
        <v>678.58401317539528</v>
      </c>
      <c r="BJ38" s="257">
        <f ca="1">BE38*BF38*BH38*BI38</f>
        <v>921.78852349745682</v>
      </c>
      <c r="BK38" s="257">
        <f ca="1">((BE38*BF38*BG38*BH38)/32.3)*(((BE7*0.5)^2)/144)*12</f>
        <v>0.67289164086687292</v>
      </c>
      <c r="BL38" s="257" t="e">
        <f ca="1">Ratio</f>
        <v>#N/A</v>
      </c>
      <c r="BM38" s="257" t="e">
        <f ca="1">BK38/(BL38^2)</f>
        <v>#N/A</v>
      </c>
      <c r="BO38" s="250" t="s">
        <v>628</v>
      </c>
      <c r="BP38" s="338">
        <f ca="1">MatWidth</f>
        <v>16</v>
      </c>
      <c r="BQ38" s="338">
        <f ca="1">MatThickness</f>
        <v>0.3</v>
      </c>
      <c r="BR38" s="338">
        <f ca="1">MatLnFLT</f>
        <v>48</v>
      </c>
      <c r="BS38" s="338">
        <f ca="1">MatDensity</f>
        <v>0.28299999999999997</v>
      </c>
      <c r="BT38" s="338">
        <f ca="1">MatLoop</f>
        <v>678.58401317539528</v>
      </c>
      <c r="BU38" s="257">
        <f ca="1">BP38*BQ38*BS38*BT38</f>
        <v>921.78852349745682</v>
      </c>
      <c r="BV38" s="257">
        <f ca="1">((BP38*BQ38*BR38*BS38)/32.3)*(((BP7*0.5)^2)/144)*12</f>
        <v>0.67289164086687292</v>
      </c>
      <c r="BW38" s="257" t="e">
        <f ca="1">Ratio</f>
        <v>#N/A</v>
      </c>
      <c r="BX38" s="257" t="e">
        <f ca="1">BV38/(BW38^2)</f>
        <v>#N/A</v>
      </c>
      <c r="BZ38" s="250" t="s">
        <v>628</v>
      </c>
      <c r="CA38" s="338">
        <f ca="1">MatWidth</f>
        <v>16</v>
      </c>
      <c r="CB38" s="338">
        <f ca="1">MatThickness</f>
        <v>0.3</v>
      </c>
      <c r="CC38" s="338">
        <f ca="1">MatLnFLT</f>
        <v>48</v>
      </c>
      <c r="CD38" s="338">
        <f ca="1">MatDensity</f>
        <v>0.28299999999999997</v>
      </c>
      <c r="CE38" s="338">
        <f ca="1">MatLoop</f>
        <v>678.58401317539528</v>
      </c>
      <c r="CF38" s="257">
        <f ca="1">CA38*CB38*CD38*CE38</f>
        <v>921.78852349745682</v>
      </c>
      <c r="CG38" s="257">
        <f ca="1">((CA38*CB38*CC38*CD38)/32.3)*(((CA7*0.5)^2)/144)*12</f>
        <v>0.851628482972136</v>
      </c>
      <c r="CH38" s="257" t="e">
        <f ca="1">Ratio</f>
        <v>#N/A</v>
      </c>
      <c r="CI38" s="257" t="e">
        <f ca="1">CG38/(CH38^2)</f>
        <v>#N/A</v>
      </c>
      <c r="CK38" s="250" t="s">
        <v>628</v>
      </c>
      <c r="CL38" s="338">
        <f ca="1">MatWidth</f>
        <v>16</v>
      </c>
      <c r="CM38" s="338">
        <f ca="1">MatThickness</f>
        <v>0.3</v>
      </c>
      <c r="CN38" s="338">
        <f ca="1">MatLnFLT</f>
        <v>48</v>
      </c>
      <c r="CO38" s="338">
        <f ca="1">MatDensity</f>
        <v>0.28299999999999997</v>
      </c>
      <c r="CP38" s="338">
        <f ca="1">MatLoop</f>
        <v>678.58401317539528</v>
      </c>
      <c r="CQ38" s="257">
        <f ca="1">CL38*CM38*CO38*CP38</f>
        <v>921.78852349745682</v>
      </c>
      <c r="CR38" s="257">
        <f ca="1">((CL38*CM38*CN38*CO38)/32.3)*(((CL7*0.5)^2)/144)*12</f>
        <v>1.051393188854489</v>
      </c>
      <c r="CS38" s="257" t="e">
        <f ca="1">Ratio</f>
        <v>#N/A</v>
      </c>
      <c r="CT38" s="257" t="e">
        <f ca="1">CR38/(CS38^2)</f>
        <v>#N/A</v>
      </c>
      <c r="CV38" s="250"/>
      <c r="CW38" s="245"/>
      <c r="CX38" s="245"/>
      <c r="CY38" s="257"/>
      <c r="CZ38" s="245"/>
      <c r="DA38" s="245"/>
      <c r="DB38" s="245"/>
      <c r="DC38" s="245"/>
      <c r="DD38" s="245"/>
      <c r="DE38" s="245"/>
      <c r="DG38" s="250"/>
      <c r="DH38" s="245"/>
      <c r="DI38" s="245"/>
      <c r="DJ38" s="257"/>
      <c r="DK38" s="245"/>
      <c r="DL38" s="245"/>
      <c r="DM38" s="245"/>
      <c r="DN38" s="245"/>
      <c r="DO38" s="245"/>
      <c r="DP38" s="245"/>
      <c r="DR38" s="250"/>
      <c r="DS38" s="245"/>
      <c r="DT38" s="245"/>
      <c r="DU38" s="257"/>
      <c r="DV38" s="245"/>
      <c r="DW38" s="245"/>
      <c r="DX38" s="245"/>
      <c r="DY38" s="245"/>
      <c r="DZ38" s="245"/>
      <c r="EA38" s="245"/>
      <c r="EC38" s="250"/>
      <c r="ED38" s="245"/>
      <c r="EE38" s="245"/>
      <c r="EF38" s="257"/>
      <c r="EG38" s="245"/>
      <c r="EH38" s="245"/>
      <c r="EI38" s="245"/>
      <c r="EJ38" s="245"/>
      <c r="EK38" s="245"/>
      <c r="EL38" s="245"/>
    </row>
    <row r="39" spans="1:142" ht="15.75" x14ac:dyDescent="0.25">
      <c r="A39" s="250"/>
      <c r="B39" s="245"/>
      <c r="C39" s="245"/>
      <c r="D39" s="245"/>
      <c r="E39" s="245"/>
      <c r="F39" s="245"/>
      <c r="G39" s="245"/>
      <c r="H39" s="245"/>
      <c r="I39" s="245"/>
      <c r="J39" s="245"/>
      <c r="L39" s="250"/>
      <c r="M39" s="245"/>
      <c r="N39" s="245"/>
      <c r="O39" s="245"/>
      <c r="P39" s="245"/>
      <c r="Q39" s="245"/>
      <c r="R39" s="245"/>
      <c r="S39" s="245"/>
      <c r="T39" s="245"/>
      <c r="U39" s="245"/>
      <c r="W39" s="250"/>
      <c r="X39" s="245"/>
      <c r="Y39" s="245"/>
      <c r="Z39" s="245"/>
      <c r="AA39" s="245"/>
      <c r="AB39" s="245"/>
      <c r="AC39" s="245"/>
      <c r="AD39" s="245"/>
      <c r="AE39" s="245"/>
      <c r="AF39" s="245"/>
      <c r="AH39" s="250"/>
      <c r="AI39" s="245"/>
      <c r="AJ39" s="245"/>
      <c r="AK39" s="245"/>
      <c r="AL39" s="245"/>
      <c r="AM39" s="245"/>
      <c r="AN39" s="245"/>
      <c r="AO39" s="245"/>
      <c r="AP39" s="245"/>
      <c r="AQ39" s="245"/>
      <c r="AS39" s="250"/>
      <c r="AT39" s="261"/>
      <c r="AU39" s="245"/>
      <c r="AV39" s="245"/>
      <c r="AW39" s="245"/>
      <c r="AX39" s="245"/>
      <c r="AY39" s="245"/>
      <c r="AZ39" s="245"/>
      <c r="BA39" s="245"/>
      <c r="BB39" s="245"/>
      <c r="BD39" s="250"/>
      <c r="BE39" s="261"/>
      <c r="BF39" s="245"/>
      <c r="BG39" s="245"/>
      <c r="BH39" s="245"/>
      <c r="BI39" s="245"/>
      <c r="BJ39" s="245"/>
      <c r="BK39" s="245"/>
      <c r="BL39" s="245"/>
      <c r="BM39" s="245"/>
      <c r="BO39" s="250"/>
      <c r="BP39" s="261"/>
      <c r="BQ39" s="245"/>
      <c r="BR39" s="245"/>
      <c r="BS39" s="245"/>
      <c r="BT39" s="245"/>
      <c r="BU39" s="245"/>
      <c r="BV39" s="245"/>
      <c r="BW39" s="245"/>
      <c r="BX39" s="245"/>
      <c r="BZ39" s="250"/>
      <c r="CA39" s="261"/>
      <c r="CB39" s="245"/>
      <c r="CC39" s="245"/>
      <c r="CD39" s="245"/>
      <c r="CE39" s="245"/>
      <c r="CF39" s="245"/>
      <c r="CG39" s="245"/>
      <c r="CH39" s="245"/>
      <c r="CI39" s="245"/>
      <c r="CK39" s="250"/>
      <c r="CL39" s="261"/>
      <c r="CM39" s="245"/>
      <c r="CN39" s="245"/>
      <c r="CO39" s="245"/>
      <c r="CP39" s="245"/>
      <c r="CQ39" s="245"/>
      <c r="CR39" s="245"/>
      <c r="CS39" s="245"/>
      <c r="CT39" s="245"/>
      <c r="CV39" s="250"/>
      <c r="CW39" s="245"/>
      <c r="CX39" s="245"/>
      <c r="CY39" s="245"/>
      <c r="CZ39" s="245"/>
      <c r="DA39" s="245"/>
      <c r="DB39" s="245"/>
      <c r="DC39" s="245"/>
      <c r="DD39" s="245"/>
      <c r="DE39" s="245"/>
      <c r="DG39" s="250"/>
      <c r="DH39" s="245"/>
      <c r="DI39" s="245"/>
      <c r="DJ39" s="245"/>
      <c r="DK39" s="245"/>
      <c r="DL39" s="245"/>
      <c r="DM39" s="245"/>
      <c r="DN39" s="245"/>
      <c r="DO39" s="245"/>
      <c r="DP39" s="245"/>
      <c r="DR39" s="250"/>
      <c r="DS39" s="245"/>
      <c r="DT39" s="245"/>
      <c r="DU39" s="245"/>
      <c r="DV39" s="245"/>
      <c r="DW39" s="245"/>
      <c r="DX39" s="245"/>
      <c r="DY39" s="245"/>
      <c r="DZ39" s="245"/>
      <c r="EA39" s="245"/>
      <c r="EC39" s="250"/>
      <c r="ED39" s="245"/>
      <c r="EE39" s="245"/>
      <c r="EF39" s="245"/>
      <c r="EG39" s="245"/>
      <c r="EH39" s="245"/>
      <c r="EI39" s="245"/>
      <c r="EJ39" s="245"/>
      <c r="EK39" s="245"/>
      <c r="EL39" s="245"/>
    </row>
    <row r="40" spans="1:142" ht="15.75" x14ac:dyDescent="0.25">
      <c r="A40" s="250" t="s">
        <v>104</v>
      </c>
      <c r="B40" s="245"/>
      <c r="C40" s="245"/>
      <c r="D40" s="245"/>
      <c r="E40" s="245"/>
      <c r="F40" s="245"/>
      <c r="G40" s="245"/>
      <c r="H40" s="245"/>
      <c r="I40" s="245"/>
      <c r="J40" s="245"/>
      <c r="L40" s="250" t="s">
        <v>104</v>
      </c>
      <c r="M40" s="245"/>
      <c r="N40" s="245"/>
      <c r="O40" s="245"/>
      <c r="P40" s="245"/>
      <c r="Q40" s="245"/>
      <c r="R40" s="245"/>
      <c r="S40" s="245"/>
      <c r="T40" s="245"/>
      <c r="U40" s="245"/>
      <c r="W40" s="250" t="s">
        <v>104</v>
      </c>
      <c r="X40" s="245"/>
      <c r="Y40" s="245"/>
      <c r="Z40" s="245"/>
      <c r="AA40" s="245"/>
      <c r="AB40" s="245"/>
      <c r="AC40" s="245"/>
      <c r="AD40" s="245"/>
      <c r="AE40" s="245"/>
      <c r="AF40" s="245"/>
      <c r="AH40" s="250" t="s">
        <v>104</v>
      </c>
      <c r="AI40" s="245"/>
      <c r="AJ40" s="245"/>
      <c r="AK40" s="245"/>
      <c r="AL40" s="245"/>
      <c r="AM40" s="245"/>
      <c r="AN40" s="245"/>
      <c r="AO40" s="245"/>
      <c r="AP40" s="245"/>
      <c r="AQ40" s="245"/>
      <c r="AS40" s="250"/>
      <c r="AT40" s="261"/>
      <c r="AU40" s="245"/>
      <c r="AV40" s="245"/>
      <c r="AW40" s="245"/>
      <c r="AX40" s="245"/>
      <c r="AY40" s="245"/>
      <c r="AZ40" s="245"/>
      <c r="BA40" s="245"/>
      <c r="BB40" s="245"/>
      <c r="BD40" s="250"/>
      <c r="BE40" s="261"/>
      <c r="BF40" s="245"/>
      <c r="BG40" s="245"/>
      <c r="BH40" s="245"/>
      <c r="BI40" s="245"/>
      <c r="BJ40" s="245"/>
      <c r="BK40" s="245"/>
      <c r="BL40" s="245"/>
      <c r="BM40" s="245"/>
      <c r="BO40" s="250"/>
      <c r="BP40" s="261"/>
      <c r="BQ40" s="245"/>
      <c r="BR40" s="245"/>
      <c r="BS40" s="245"/>
      <c r="BT40" s="245"/>
      <c r="BU40" s="245"/>
      <c r="BV40" s="245"/>
      <c r="BW40" s="245"/>
      <c r="BX40" s="245"/>
      <c r="BZ40" s="250"/>
      <c r="CA40" s="261"/>
      <c r="CB40" s="245"/>
      <c r="CC40" s="245"/>
      <c r="CD40" s="245"/>
      <c r="CE40" s="245"/>
      <c r="CF40" s="245"/>
      <c r="CG40" s="245"/>
      <c r="CH40" s="245"/>
      <c r="CI40" s="245"/>
      <c r="CK40" s="250"/>
      <c r="CL40" s="261"/>
      <c r="CM40" s="245"/>
      <c r="CN40" s="245"/>
      <c r="CO40" s="245"/>
      <c r="CP40" s="245"/>
      <c r="CQ40" s="245"/>
      <c r="CR40" s="245"/>
      <c r="CS40" s="245"/>
      <c r="CT40" s="245"/>
      <c r="CV40" s="250"/>
      <c r="CW40" s="338" t="s">
        <v>114</v>
      </c>
      <c r="CX40" s="338" t="s">
        <v>623</v>
      </c>
      <c r="CY40" s="338" t="s">
        <v>624</v>
      </c>
      <c r="CZ40" s="338" t="s">
        <v>625</v>
      </c>
      <c r="DA40" s="338" t="s">
        <v>626</v>
      </c>
      <c r="DB40" s="338" t="s">
        <v>575</v>
      </c>
      <c r="DC40" s="338" t="s">
        <v>576</v>
      </c>
      <c r="DD40" s="338" t="s">
        <v>103</v>
      </c>
      <c r="DE40" s="338" t="s">
        <v>577</v>
      </c>
      <c r="DG40" s="250"/>
      <c r="DH40" s="338" t="s">
        <v>114</v>
      </c>
      <c r="DI40" s="338" t="s">
        <v>623</v>
      </c>
      <c r="DJ40" s="338" t="s">
        <v>624</v>
      </c>
      <c r="DK40" s="338" t="s">
        <v>625</v>
      </c>
      <c r="DL40" s="338" t="s">
        <v>626</v>
      </c>
      <c r="DM40" s="338" t="s">
        <v>575</v>
      </c>
      <c r="DN40" s="338" t="s">
        <v>576</v>
      </c>
      <c r="DO40" s="338" t="s">
        <v>103</v>
      </c>
      <c r="DP40" s="338" t="s">
        <v>577</v>
      </c>
      <c r="DR40" s="250"/>
      <c r="DS40" s="338" t="s">
        <v>114</v>
      </c>
      <c r="DT40" s="338" t="s">
        <v>623</v>
      </c>
      <c r="DU40" s="338" t="s">
        <v>624</v>
      </c>
      <c r="DV40" s="338" t="s">
        <v>625</v>
      </c>
      <c r="DW40" s="338" t="s">
        <v>626</v>
      </c>
      <c r="DX40" s="338" t="s">
        <v>575</v>
      </c>
      <c r="DY40" s="338" t="s">
        <v>576</v>
      </c>
      <c r="DZ40" s="338" t="s">
        <v>103</v>
      </c>
      <c r="EA40" s="338" t="s">
        <v>577</v>
      </c>
      <c r="EC40" s="250"/>
      <c r="ED40" s="338" t="s">
        <v>114</v>
      </c>
      <c r="EE40" s="338" t="s">
        <v>623</v>
      </c>
      <c r="EF40" s="338" t="s">
        <v>624</v>
      </c>
      <c r="EG40" s="338" t="s">
        <v>625</v>
      </c>
      <c r="EH40" s="338" t="s">
        <v>626</v>
      </c>
      <c r="EI40" s="338" t="s">
        <v>575</v>
      </c>
      <c r="EJ40" s="338" t="s">
        <v>576</v>
      </c>
      <c r="EK40" s="338" t="s">
        <v>103</v>
      </c>
      <c r="EL40" s="338" t="s">
        <v>577</v>
      </c>
    </row>
    <row r="41" spans="1:142" ht="15.75" x14ac:dyDescent="0.25">
      <c r="A41" s="250" t="s">
        <v>577</v>
      </c>
      <c r="B41" s="338" t="e">
        <f ca="1">SUM(J7:J36)</f>
        <v>#N/A</v>
      </c>
      <c r="C41" s="245"/>
      <c r="D41" s="245"/>
      <c r="E41" s="245"/>
      <c r="F41" s="245"/>
      <c r="G41" s="245"/>
      <c r="H41" s="245"/>
      <c r="I41" s="245"/>
      <c r="J41" s="245"/>
      <c r="L41" s="250" t="s">
        <v>577</v>
      </c>
      <c r="M41" s="338" t="e">
        <f ca="1">SUM(U7:U36)</f>
        <v>#N/A</v>
      </c>
      <c r="N41" s="245"/>
      <c r="O41" s="245"/>
      <c r="P41" s="245"/>
      <c r="Q41" s="245"/>
      <c r="R41" s="245"/>
      <c r="S41" s="245"/>
      <c r="T41" s="245"/>
      <c r="U41" s="245"/>
      <c r="W41" s="250" t="s">
        <v>577</v>
      </c>
      <c r="X41" s="338" t="e">
        <f ca="1">SUM(AF7:AF36)</f>
        <v>#N/A</v>
      </c>
      <c r="Y41" s="245"/>
      <c r="Z41" s="245"/>
      <c r="AA41" s="245"/>
      <c r="AB41" s="245"/>
      <c r="AC41" s="245"/>
      <c r="AD41" s="245"/>
      <c r="AE41" s="245"/>
      <c r="AF41" s="245"/>
      <c r="AH41" s="250" t="s">
        <v>577</v>
      </c>
      <c r="AI41" s="338" t="e">
        <f ca="1">SUM(AQ7:AQ36)</f>
        <v>#N/A</v>
      </c>
      <c r="AJ41" s="245"/>
      <c r="AK41" s="245"/>
      <c r="AL41" s="245"/>
      <c r="AM41" s="245"/>
      <c r="AN41" s="245"/>
      <c r="AO41" s="245"/>
      <c r="AP41" s="245"/>
      <c r="AQ41" s="245"/>
      <c r="AS41" s="250"/>
      <c r="AT41" s="245"/>
      <c r="AU41" s="245"/>
      <c r="AV41" s="245"/>
      <c r="AW41" s="245"/>
      <c r="AX41" s="245"/>
      <c r="AY41" s="245"/>
      <c r="AZ41" s="245"/>
      <c r="BA41" s="245"/>
      <c r="BB41" s="245"/>
      <c r="BD41" s="250"/>
      <c r="BE41" s="245"/>
      <c r="BF41" s="245"/>
      <c r="BG41" s="245"/>
      <c r="BH41" s="245"/>
      <c r="BI41" s="245"/>
      <c r="BJ41" s="245"/>
      <c r="BK41" s="245"/>
      <c r="BL41" s="245"/>
      <c r="BM41" s="245"/>
      <c r="BO41" s="250"/>
      <c r="BP41" s="245"/>
      <c r="BQ41" s="245"/>
      <c r="BR41" s="245"/>
      <c r="BS41" s="245"/>
      <c r="BT41" s="245"/>
      <c r="BU41" s="245"/>
      <c r="BV41" s="245"/>
      <c r="BW41" s="245"/>
      <c r="BX41" s="245"/>
      <c r="BZ41" s="250"/>
      <c r="CA41" s="245"/>
      <c r="CB41" s="245"/>
      <c r="CC41" s="245"/>
      <c r="CD41" s="245"/>
      <c r="CE41" s="245"/>
      <c r="CF41" s="245"/>
      <c r="CG41" s="245"/>
      <c r="CH41" s="245"/>
      <c r="CI41" s="245"/>
      <c r="CK41" s="250"/>
      <c r="CL41" s="245"/>
      <c r="CM41" s="245"/>
      <c r="CN41" s="245"/>
      <c r="CO41" s="245"/>
      <c r="CP41" s="245"/>
      <c r="CQ41" s="245"/>
      <c r="CR41" s="245"/>
      <c r="CS41" s="245"/>
      <c r="CT41" s="245"/>
      <c r="CV41" s="250" t="s">
        <v>628</v>
      </c>
      <c r="CW41" s="338">
        <f ca="1">MatWidth</f>
        <v>16</v>
      </c>
      <c r="CX41" s="338">
        <f ca="1">MatThickness</f>
        <v>0.3</v>
      </c>
      <c r="CY41" s="338">
        <f ca="1">MatLnFLT</f>
        <v>48</v>
      </c>
      <c r="CZ41" s="338">
        <f ca="1">MatDensity</f>
        <v>0.28299999999999997</v>
      </c>
      <c r="DA41" s="338">
        <f ca="1">MatLoop</f>
        <v>678.58401317539528</v>
      </c>
      <c r="DB41" s="257">
        <f ca="1">CW41*CX41*CZ41*DA41</f>
        <v>921.78852349745682</v>
      </c>
      <c r="DC41" s="257">
        <f ca="1">((CW41*CX41*CY41*CZ41)/32.3)*(((CW6*0.5)^2)/144)*12</f>
        <v>1.5140061919504642</v>
      </c>
      <c r="DD41" s="257" t="e">
        <f ca="1">Ratio</f>
        <v>#N/A</v>
      </c>
      <c r="DE41" s="257" t="e">
        <f ca="1">DC41/(Ratio^2)</f>
        <v>#N/A</v>
      </c>
      <c r="DG41" s="250" t="s">
        <v>628</v>
      </c>
      <c r="DH41" s="338">
        <f ca="1">MatWidth</f>
        <v>16</v>
      </c>
      <c r="DI41" s="338">
        <f ca="1">MatThickness</f>
        <v>0.3</v>
      </c>
      <c r="DJ41" s="338">
        <f ca="1">MatLnFLT</f>
        <v>48</v>
      </c>
      <c r="DK41" s="338">
        <f ca="1">MatDensity</f>
        <v>0.28299999999999997</v>
      </c>
      <c r="DL41" s="338">
        <f ca="1">MatLoop</f>
        <v>678.58401317539528</v>
      </c>
      <c r="DM41" s="257">
        <f ca="1">DH41*DI41*DK41*DL41</f>
        <v>921.78852349745682</v>
      </c>
      <c r="DN41" s="257">
        <f ca="1">((DH41*DI41*DJ41*DK41)/32.3)*(((DH6*0.5)^2)/144)*12</f>
        <v>1.5140061919504642</v>
      </c>
      <c r="DO41" s="257" t="e">
        <f ca="1">Ratio</f>
        <v>#N/A</v>
      </c>
      <c r="DP41" s="257" t="e">
        <f ca="1">DN41/(Ratio^2)</f>
        <v>#N/A</v>
      </c>
      <c r="DR41" s="250" t="s">
        <v>628</v>
      </c>
      <c r="DS41" s="338">
        <f ca="1">MatWidth</f>
        <v>16</v>
      </c>
      <c r="DT41" s="338">
        <f ca="1">MatThickness</f>
        <v>0.3</v>
      </c>
      <c r="DU41" s="338">
        <f ca="1">MatLnFLT</f>
        <v>48</v>
      </c>
      <c r="DV41" s="338">
        <f ca="1">MatDensity</f>
        <v>0.28299999999999997</v>
      </c>
      <c r="DW41" s="338">
        <f ca="1">MatLoop</f>
        <v>678.58401317539528</v>
      </c>
      <c r="DX41" s="257">
        <f ca="1">DS41*DT41*DV41*DW41</f>
        <v>921.78852349745682</v>
      </c>
      <c r="DY41" s="257">
        <f ca="1">((DS41*DT41*DU41*DV41)/32.3)*(((DS6*0.5)^2)/144)*12</f>
        <v>2.0607306501547984</v>
      </c>
      <c r="DZ41" s="257" t="e">
        <f ca="1">Ratio</f>
        <v>#N/A</v>
      </c>
      <c r="EA41" s="257" t="e">
        <f ca="1">DY41/(Ratio^2)</f>
        <v>#N/A</v>
      </c>
      <c r="EC41" s="250" t="s">
        <v>628</v>
      </c>
      <c r="ED41" s="338">
        <f ca="1">MatWidth</f>
        <v>16</v>
      </c>
      <c r="EE41" s="338">
        <f ca="1">MatThickness</f>
        <v>0.3</v>
      </c>
      <c r="EF41" s="338">
        <f ca="1">MatLnFLT</f>
        <v>48</v>
      </c>
      <c r="EG41" s="338">
        <f ca="1">MatDensity</f>
        <v>0.28299999999999997</v>
      </c>
      <c r="EH41" s="338">
        <f ca="1">MatLoop</f>
        <v>678.58401317539528</v>
      </c>
      <c r="EI41" s="257">
        <f ca="1">ED41*EE41*EG41*EH41</f>
        <v>921.78852349745682</v>
      </c>
      <c r="EJ41" s="257">
        <f ca="1">((ED41*EE41*EF41*EG41)/32.3)*(((ED6*0.5)^2)/144)*12</f>
        <v>2.6915665634674917</v>
      </c>
      <c r="EK41" s="257" t="e">
        <f ca="1">Ratio</f>
        <v>#N/A</v>
      </c>
      <c r="EL41" s="257" t="e">
        <f ca="1">EJ41/(Ratio^2)</f>
        <v>#N/A</v>
      </c>
    </row>
    <row r="42" spans="1:142" ht="15.75" x14ac:dyDescent="0.25">
      <c r="AS42" s="250" t="s">
        <v>104</v>
      </c>
      <c r="AT42" s="245"/>
      <c r="AU42" s="245"/>
      <c r="AV42" s="245"/>
      <c r="AW42" s="245"/>
      <c r="AX42" s="245"/>
      <c r="AY42" s="245"/>
      <c r="AZ42" s="245"/>
      <c r="BA42" s="245"/>
      <c r="BB42" s="245"/>
      <c r="BD42" s="250" t="s">
        <v>104</v>
      </c>
      <c r="BE42" s="245"/>
      <c r="BF42" s="245"/>
      <c r="BG42" s="245"/>
      <c r="BH42" s="245"/>
      <c r="BI42" s="245"/>
      <c r="BJ42" s="245"/>
      <c r="BK42" s="245"/>
      <c r="BL42" s="245"/>
      <c r="BM42" s="245"/>
      <c r="BO42" s="250" t="s">
        <v>104</v>
      </c>
      <c r="BP42" s="245"/>
      <c r="BQ42" s="245"/>
      <c r="BR42" s="245"/>
      <c r="BS42" s="245"/>
      <c r="BT42" s="245"/>
      <c r="BU42" s="245"/>
      <c r="BV42" s="245"/>
      <c r="BW42" s="245"/>
      <c r="BX42" s="245"/>
      <c r="BZ42" s="250" t="s">
        <v>104</v>
      </c>
      <c r="CA42" s="245"/>
      <c r="CB42" s="245"/>
      <c r="CC42" s="245"/>
      <c r="CD42" s="245"/>
      <c r="CE42" s="245"/>
      <c r="CF42" s="245"/>
      <c r="CG42" s="245"/>
      <c r="CH42" s="245"/>
      <c r="CI42" s="245"/>
      <c r="CK42" s="250" t="s">
        <v>104</v>
      </c>
      <c r="CL42" s="245"/>
      <c r="CM42" s="245"/>
      <c r="CN42" s="245"/>
      <c r="CO42" s="245"/>
      <c r="CP42" s="245"/>
      <c r="CQ42" s="245"/>
      <c r="CR42" s="245"/>
      <c r="CS42" s="245"/>
      <c r="CT42" s="245"/>
      <c r="CV42" s="250"/>
      <c r="CW42" s="261"/>
      <c r="CX42" s="245"/>
      <c r="CY42" s="245"/>
      <c r="CZ42" s="245"/>
      <c r="DA42" s="245"/>
      <c r="DB42" s="245"/>
      <c r="DC42" s="245"/>
      <c r="DD42" s="245"/>
      <c r="DE42" s="245"/>
      <c r="DG42" s="250"/>
      <c r="DH42" s="261"/>
      <c r="DI42" s="245"/>
      <c r="DJ42" s="245"/>
      <c r="DK42" s="245"/>
      <c r="DL42" s="245"/>
      <c r="DM42" s="245"/>
      <c r="DN42" s="245"/>
      <c r="DO42" s="245"/>
      <c r="DP42" s="245"/>
      <c r="DR42" s="250"/>
      <c r="DS42" s="261"/>
      <c r="DT42" s="245"/>
      <c r="DU42" s="245"/>
      <c r="DV42" s="245"/>
      <c r="DW42" s="245"/>
      <c r="DX42" s="245"/>
      <c r="DY42" s="245"/>
      <c r="DZ42" s="245"/>
      <c r="EA42" s="245"/>
    </row>
    <row r="43" spans="1:142" ht="15.75" x14ac:dyDescent="0.25">
      <c r="AS43" s="250" t="s">
        <v>577</v>
      </c>
      <c r="AT43" s="338" t="e">
        <f ca="1">SUM(BB7:BB38)</f>
        <v>#N/A</v>
      </c>
      <c r="AU43" s="245"/>
      <c r="AV43" s="245"/>
      <c r="AW43" s="245"/>
      <c r="AX43" s="245"/>
      <c r="AY43" s="245"/>
      <c r="AZ43" s="245"/>
      <c r="BA43" s="245"/>
      <c r="BB43" s="245"/>
      <c r="BD43" s="250" t="s">
        <v>577</v>
      </c>
      <c r="BE43" s="338" t="e">
        <f ca="1">SUM(BM7:BM38)</f>
        <v>#N/A</v>
      </c>
      <c r="BF43" s="245"/>
      <c r="BG43" s="245"/>
      <c r="BH43" s="245"/>
      <c r="BI43" s="245"/>
      <c r="BJ43" s="245"/>
      <c r="BK43" s="245"/>
      <c r="BL43" s="245"/>
      <c r="BM43" s="245"/>
      <c r="BO43" s="250" t="s">
        <v>577</v>
      </c>
      <c r="BP43" s="338" t="e">
        <f ca="1">SUM(BX7:BX38)</f>
        <v>#N/A</v>
      </c>
      <c r="BQ43" s="245"/>
      <c r="BR43" s="245"/>
      <c r="BS43" s="245"/>
      <c r="BT43" s="245"/>
      <c r="BU43" s="245"/>
      <c r="BV43" s="245"/>
      <c r="BW43" s="245"/>
      <c r="BX43" s="245"/>
      <c r="BZ43" s="250" t="s">
        <v>577</v>
      </c>
      <c r="CA43" s="338" t="e">
        <f ca="1">SUM(CI7:CI38)</f>
        <v>#N/A</v>
      </c>
      <c r="CB43" s="245"/>
      <c r="CC43" s="245"/>
      <c r="CD43" s="245"/>
      <c r="CE43" s="245"/>
      <c r="CF43" s="245"/>
      <c r="CG43" s="245"/>
      <c r="CH43" s="245"/>
      <c r="CI43" s="245"/>
      <c r="CK43" s="250" t="s">
        <v>577</v>
      </c>
      <c r="CL43" s="338" t="e">
        <f ca="1">SUM(CT7:CT38)</f>
        <v>#N/A</v>
      </c>
      <c r="CM43" s="245"/>
      <c r="CN43" s="245"/>
      <c r="CO43" s="245"/>
      <c r="CP43" s="245"/>
      <c r="CQ43" s="245"/>
      <c r="CR43" s="245"/>
      <c r="CS43" s="245"/>
      <c r="CT43" s="245"/>
      <c r="CV43" s="250"/>
      <c r="CW43" s="261"/>
      <c r="CX43" s="245"/>
      <c r="CY43" s="245"/>
      <c r="CZ43" s="245"/>
      <c r="DA43" s="245"/>
      <c r="DB43" s="245"/>
      <c r="DC43" s="245"/>
      <c r="DD43" s="245"/>
      <c r="DE43" s="245"/>
      <c r="DG43" s="250"/>
      <c r="DH43" s="261"/>
      <c r="DI43" s="245"/>
      <c r="DJ43" s="245"/>
      <c r="DK43" s="245"/>
      <c r="DL43" s="245"/>
      <c r="DM43" s="245"/>
      <c r="DN43" s="245"/>
      <c r="DO43" s="245"/>
      <c r="DP43" s="245"/>
      <c r="DR43" s="250"/>
      <c r="DS43" s="261"/>
      <c r="DT43" s="245"/>
      <c r="DU43" s="245"/>
      <c r="DV43" s="245"/>
      <c r="DW43" s="245"/>
      <c r="DX43" s="245"/>
      <c r="DY43" s="245"/>
      <c r="DZ43" s="245"/>
      <c r="EA43" s="245"/>
    </row>
    <row r="44" spans="1:142" ht="15.75" x14ac:dyDescent="0.25">
      <c r="CV44" s="250"/>
      <c r="CW44" s="245"/>
      <c r="CX44" s="245"/>
      <c r="CY44" s="245"/>
      <c r="CZ44" s="245"/>
      <c r="DA44" s="245"/>
      <c r="DB44" s="245"/>
      <c r="DC44" s="245"/>
      <c r="DD44" s="245"/>
      <c r="DE44" s="245"/>
      <c r="DG44" s="250"/>
      <c r="DH44" s="245"/>
      <c r="DI44" s="245"/>
      <c r="DJ44" s="245"/>
      <c r="DK44" s="245"/>
      <c r="DL44" s="245"/>
      <c r="DM44" s="245"/>
      <c r="DN44" s="245"/>
      <c r="DO44" s="245"/>
      <c r="DP44" s="245"/>
      <c r="DR44" s="250"/>
      <c r="DS44" s="245"/>
      <c r="DT44" s="245"/>
      <c r="DU44" s="245"/>
      <c r="DV44" s="245"/>
      <c r="DW44" s="245"/>
      <c r="DX44" s="245"/>
      <c r="DY44" s="245"/>
      <c r="DZ44" s="245"/>
      <c r="EA44" s="245"/>
    </row>
    <row r="45" spans="1:142" ht="15.75" x14ac:dyDescent="0.25">
      <c r="A45" t="s">
        <v>979</v>
      </c>
      <c r="CV45" s="250" t="s">
        <v>104</v>
      </c>
      <c r="CW45" s="245"/>
      <c r="CX45" s="245"/>
      <c r="CY45" s="245"/>
      <c r="CZ45" s="245"/>
      <c r="DA45" s="245"/>
      <c r="DB45" s="245"/>
      <c r="DC45" s="245"/>
      <c r="DD45" s="245"/>
      <c r="DE45" s="245"/>
      <c r="DG45" s="250" t="s">
        <v>104</v>
      </c>
      <c r="DH45" s="245"/>
      <c r="DI45" s="245"/>
      <c r="DJ45" s="245"/>
      <c r="DK45" s="245"/>
      <c r="DL45" s="245"/>
      <c r="DM45" s="245"/>
      <c r="DN45" s="245"/>
      <c r="DO45" s="245"/>
      <c r="DP45" s="245"/>
      <c r="DR45" s="250" t="s">
        <v>104</v>
      </c>
      <c r="DS45" s="245"/>
      <c r="DT45" s="245"/>
      <c r="DU45" s="245"/>
      <c r="DV45" s="245"/>
      <c r="DW45" s="245"/>
      <c r="DX45" s="245"/>
      <c r="DY45" s="245"/>
      <c r="DZ45" s="245"/>
      <c r="EA45" s="245"/>
      <c r="ED45" s="250" t="s">
        <v>104</v>
      </c>
    </row>
    <row r="46" spans="1:142" ht="15.75" x14ac:dyDescent="0.25">
      <c r="A46" t="s">
        <v>829</v>
      </c>
      <c r="CV46" s="250" t="s">
        <v>577</v>
      </c>
      <c r="CW46" s="257" t="e">
        <f ca="1">SUM(DE6:DE41)</f>
        <v>#N/A</v>
      </c>
      <c r="CX46" s="245"/>
      <c r="CY46" s="245"/>
      <c r="CZ46" s="245"/>
      <c r="DA46" s="245"/>
      <c r="DB46" s="245"/>
      <c r="DC46" s="245"/>
      <c r="DD46" s="245"/>
      <c r="DE46" s="245"/>
      <c r="DG46" s="250" t="s">
        <v>577</v>
      </c>
      <c r="DH46" s="338" t="e">
        <f ca="1">SUM(DP6:DP41)</f>
        <v>#N/A</v>
      </c>
      <c r="DI46" s="245"/>
      <c r="DJ46" s="245"/>
      <c r="DK46" s="245"/>
      <c r="DL46" s="245"/>
      <c r="DM46" s="245"/>
      <c r="DN46" s="245"/>
      <c r="DO46" s="245"/>
      <c r="DP46" s="245"/>
      <c r="DR46" s="250" t="s">
        <v>577</v>
      </c>
      <c r="DS46" s="338" t="e">
        <f ca="1">SUM(EA6:EA41)</f>
        <v>#N/A</v>
      </c>
      <c r="DT46" s="245"/>
      <c r="DU46" s="245"/>
      <c r="DV46" s="245"/>
      <c r="DW46" s="245"/>
      <c r="DX46" s="245"/>
      <c r="DY46" s="245"/>
      <c r="DZ46" s="245"/>
      <c r="EA46" s="245"/>
      <c r="ED46" s="250" t="s">
        <v>577</v>
      </c>
      <c r="EE46" s="338" t="e">
        <f ca="1">SUM(EL6:EL41)</f>
        <v>#N/A</v>
      </c>
    </row>
    <row r="47" spans="1:142" x14ac:dyDescent="0.25">
      <c r="A47" t="s">
        <v>447</v>
      </c>
      <c r="B47">
        <f ca="1">INDIRECT("'" &amp; A$46 &amp; "'!" &amp; A47)</f>
        <v>0</v>
      </c>
    </row>
    <row r="48" spans="1:142" x14ac:dyDescent="0.25">
      <c r="A48" t="s">
        <v>224</v>
      </c>
      <c r="B48" t="e">
        <f t="shared" ref="B48:B54" ca="1" si="4">INDIRECT("'" &amp; A$46 &amp; "'!" &amp; A48)</f>
        <v>#N/A</v>
      </c>
    </row>
    <row r="49" spans="1:2" x14ac:dyDescent="0.25">
      <c r="A49" t="s">
        <v>980</v>
      </c>
      <c r="B49">
        <f t="shared" ca="1" si="4"/>
        <v>16</v>
      </c>
    </row>
    <row r="50" spans="1:2" x14ac:dyDescent="0.25">
      <c r="A50" t="s">
        <v>982</v>
      </c>
      <c r="B50">
        <f t="shared" ca="1" si="4"/>
        <v>0.3</v>
      </c>
    </row>
    <row r="51" spans="1:2" x14ac:dyDescent="0.25">
      <c r="A51" t="s">
        <v>984</v>
      </c>
      <c r="B51">
        <f t="shared" ca="1" si="4"/>
        <v>48</v>
      </c>
    </row>
    <row r="52" spans="1:2" x14ac:dyDescent="0.25">
      <c r="A52" t="s">
        <v>983</v>
      </c>
      <c r="B52">
        <f t="shared" ca="1" si="4"/>
        <v>0.28299999999999997</v>
      </c>
    </row>
    <row r="53" spans="1:2" x14ac:dyDescent="0.25">
      <c r="A53" t="s">
        <v>981</v>
      </c>
      <c r="B53">
        <f t="shared" ca="1" si="4"/>
        <v>678.58401317539528</v>
      </c>
    </row>
    <row r="54" spans="1:2" x14ac:dyDescent="0.25">
      <c r="A54" t="s">
        <v>988</v>
      </c>
      <c r="B54" t="str">
        <f t="shared" ca="1" si="4"/>
        <v>Y</v>
      </c>
    </row>
  </sheetData>
  <mergeCells count="4">
    <mergeCell ref="CW37:CY37"/>
    <mergeCell ref="DH37:DJ37"/>
    <mergeCell ref="DS37:DU37"/>
    <mergeCell ref="ED37:EF37"/>
  </mergeCells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D07B4D-A00D-4B20-9002-6D5927519A3F}">
  <sheetPr codeName="Sheet46">
    <tabColor rgb="FFFF0000"/>
  </sheetPr>
  <dimension ref="A1:S66"/>
  <sheetViews>
    <sheetView topLeftCell="A37" workbookViewId="0">
      <selection activeCell="J24" sqref="J24"/>
    </sheetView>
  </sheetViews>
  <sheetFormatPr defaultRowHeight="15" x14ac:dyDescent="0.25"/>
  <cols>
    <col min="1" max="1" width="13.7109375" customWidth="1"/>
    <col min="2" max="2" width="11.85546875" bestFit="1" customWidth="1"/>
  </cols>
  <sheetData>
    <row r="1" spans="1:19" x14ac:dyDescent="0.25">
      <c r="D1" t="s">
        <v>629</v>
      </c>
      <c r="M1" t="s">
        <v>435</v>
      </c>
    </row>
    <row r="2" spans="1:19" ht="15.75" thickBot="1" x14ac:dyDescent="0.3"/>
    <row r="3" spans="1:19" ht="15.75" thickBot="1" x14ac:dyDescent="0.3">
      <c r="A3" s="352" t="s">
        <v>123</v>
      </c>
      <c r="B3" s="353" t="e">
        <f ca="1">((vel/ACCEL)*vel)*12</f>
        <v>#N/A</v>
      </c>
      <c r="C3" s="354">
        <f ca="1">MINLN</f>
        <v>4</v>
      </c>
      <c r="D3" s="354">
        <f t="shared" ref="D3:I3" ca="1" si="0">C3+INCR</f>
        <v>8</v>
      </c>
      <c r="E3" s="354">
        <f t="shared" ca="1" si="0"/>
        <v>12</v>
      </c>
      <c r="F3" s="354">
        <f t="shared" ca="1" si="0"/>
        <v>16</v>
      </c>
      <c r="G3" s="354">
        <f t="shared" ca="1" si="0"/>
        <v>20</v>
      </c>
      <c r="H3" s="354">
        <f t="shared" ca="1" si="0"/>
        <v>24</v>
      </c>
      <c r="I3" s="354">
        <f t="shared" ca="1" si="0"/>
        <v>28</v>
      </c>
      <c r="K3" s="352" t="s">
        <v>123</v>
      </c>
      <c r="L3" s="353" t="e">
        <f ca="1">((vel/ACCEL)*vel)*12</f>
        <v>#N/A</v>
      </c>
      <c r="M3" s="354">
        <f ca="1">MINLN</f>
        <v>4</v>
      </c>
      <c r="N3" s="354">
        <f t="shared" ref="N3:S3" ca="1" si="1">M3+INCR</f>
        <v>8</v>
      </c>
      <c r="O3" s="354">
        <f t="shared" ca="1" si="1"/>
        <v>12</v>
      </c>
      <c r="P3" s="354">
        <f t="shared" ca="1" si="1"/>
        <v>16</v>
      </c>
      <c r="Q3" s="354">
        <f t="shared" ca="1" si="1"/>
        <v>20</v>
      </c>
      <c r="R3" s="354">
        <f t="shared" ca="1" si="1"/>
        <v>24</v>
      </c>
      <c r="S3" s="354">
        <f t="shared" ca="1" si="1"/>
        <v>28</v>
      </c>
    </row>
    <row r="4" spans="1:19" ht="15.75" thickBot="1" x14ac:dyDescent="0.3">
      <c r="A4" s="352" t="s">
        <v>630</v>
      </c>
      <c r="B4" s="355" t="e">
        <f ca="1">SQRT((((PEAKTQ^2)*ACCTM)+((ACCTQ^2)*ACCTM)+(((FRICTQ+LOOPTQ)^2)*B5)+((SETTQ^2)*SETTM)+((LOOPTQ^2)*DWLTM))/CYCTM)</f>
        <v>#N/A</v>
      </c>
      <c r="C4" s="356" t="e">
        <f t="shared" ref="C4:I4" ca="1" si="2">SQRT((((PEAKTQ^2)*C7)+((ACCTQ^2)*C7)+(((FRICTQ+LOOPTQ)^2)*C5)+((SETTQ^2)*SETTM)+((LOOPTQ^2)*C6))/C9)</f>
        <v>#N/A</v>
      </c>
      <c r="D4" s="356" t="e">
        <f t="shared" ca="1" si="2"/>
        <v>#N/A</v>
      </c>
      <c r="E4" s="356" t="e">
        <f t="shared" ca="1" si="2"/>
        <v>#N/A</v>
      </c>
      <c r="F4" s="356" t="e">
        <f t="shared" ca="1" si="2"/>
        <v>#N/A</v>
      </c>
      <c r="G4" s="356" t="e">
        <f t="shared" ca="1" si="2"/>
        <v>#N/A</v>
      </c>
      <c r="H4" s="356" t="e">
        <f t="shared" ca="1" si="2"/>
        <v>#N/A</v>
      </c>
      <c r="I4" s="357" t="e">
        <f t="shared" ca="1" si="2"/>
        <v>#N/A</v>
      </c>
      <c r="K4" s="352" t="s">
        <v>630</v>
      </c>
      <c r="L4" s="355" t="e">
        <f ca="1">SQRT((((PEAKTQ^2)*ACCTM_2)+((ACCTQ^2)*ACCTM_2)+(((FRICTQ+LOOPTQ)^2)*L5)+((SETTQ^2)*SETTM)+((LOOPTQ^2)*DWLTM_2))/CYCTM_2)</f>
        <v>#N/A</v>
      </c>
      <c r="M4" s="356" t="e">
        <f t="shared" ref="M4:S4" ca="1" si="3">SQRT((((PEAKTQ^2)*M7)+((ACCTQ^2)*M7)+(((FRICTQ+LOOPTQ)^2)*M5)+((SETTQ^2)*SETTM)+((LOOPTQ^2)*M6))/M9)</f>
        <v>#N/A</v>
      </c>
      <c r="N4" s="356" t="e">
        <f t="shared" ca="1" si="3"/>
        <v>#N/A</v>
      </c>
      <c r="O4" s="356" t="e">
        <f t="shared" ca="1" si="3"/>
        <v>#N/A</v>
      </c>
      <c r="P4" s="356" t="e">
        <f t="shared" ca="1" si="3"/>
        <v>#N/A</v>
      </c>
      <c r="Q4" s="356" t="e">
        <f t="shared" ca="1" si="3"/>
        <v>#N/A</v>
      </c>
      <c r="R4" s="356" t="e">
        <f t="shared" ca="1" si="3"/>
        <v>#N/A</v>
      </c>
      <c r="S4" s="357" t="e">
        <f t="shared" ca="1" si="3"/>
        <v>#N/A</v>
      </c>
    </row>
    <row r="5" spans="1:19" ht="15.75" thickBot="1" x14ac:dyDescent="0.3">
      <c r="A5" s="352" t="s">
        <v>631</v>
      </c>
      <c r="B5" s="360" t="e">
        <f ca="1">IF(((ALLACC-((MPEAK*ACCTM)*12))/12)/MPEAK&gt;0,((ALLACC-((MPEAK*ACCTM)*12))/12)/MPEAK,0)</f>
        <v>#N/A</v>
      </c>
      <c r="C5" s="55" t="e">
        <f t="shared" ref="C5:I5" ca="1" si="4">IF(C3&gt;ALLACC,((C3-ALLACC)/12)/vel,0)</f>
        <v>#N/A</v>
      </c>
      <c r="D5" s="55" t="e">
        <f t="shared" ca="1" si="4"/>
        <v>#N/A</v>
      </c>
      <c r="E5" s="55" t="e">
        <f t="shared" ca="1" si="4"/>
        <v>#N/A</v>
      </c>
      <c r="F5" s="55" t="e">
        <f t="shared" ca="1" si="4"/>
        <v>#N/A</v>
      </c>
      <c r="G5" s="55" t="e">
        <f t="shared" ca="1" si="4"/>
        <v>#N/A</v>
      </c>
      <c r="H5" s="55" t="e">
        <f t="shared" ca="1" si="4"/>
        <v>#N/A</v>
      </c>
      <c r="I5" s="206" t="e">
        <f t="shared" ca="1" si="4"/>
        <v>#N/A</v>
      </c>
      <c r="K5" s="352" t="s">
        <v>631</v>
      </c>
      <c r="L5" s="360" t="e">
        <f ca="1">IF(((ALLACC_2-((MPEAK*ACCTM_2)*12))/12)/MPEAK&gt;0,((ALLACC_2-((MPEAK*ACCTM_2)*12))/12)/MPEAK,0)</f>
        <v>#N/A</v>
      </c>
      <c r="M5" s="55" t="e">
        <f t="shared" ref="M5:S5" ca="1" si="5">IF(M3&gt;ALLACC_2,((M3-ALLACC_2)/12)/vel,0)</f>
        <v>#N/A</v>
      </c>
      <c r="N5" s="55" t="e">
        <f t="shared" ca="1" si="5"/>
        <v>#N/A</v>
      </c>
      <c r="O5" s="55" t="e">
        <f t="shared" ca="1" si="5"/>
        <v>#N/A</v>
      </c>
      <c r="P5" s="55" t="e">
        <f t="shared" ca="1" si="5"/>
        <v>#N/A</v>
      </c>
      <c r="Q5" s="55" t="e">
        <f t="shared" ca="1" si="5"/>
        <v>#N/A</v>
      </c>
      <c r="R5" s="55" t="e">
        <f t="shared" ca="1" si="5"/>
        <v>#N/A</v>
      </c>
      <c r="S5" s="55" t="e">
        <f t="shared" ca="1" si="5"/>
        <v>#N/A</v>
      </c>
    </row>
    <row r="6" spans="1:19" ht="15.75" thickBot="1" x14ac:dyDescent="0.3">
      <c r="A6" s="352" t="s">
        <v>632</v>
      </c>
      <c r="B6" s="360" t="e">
        <f ca="1">CYCTM-MOVTM</f>
        <v>#N/A</v>
      </c>
      <c r="C6" s="55" t="e">
        <f t="shared" ref="C6:I6" ca="1" si="6">C9-C8</f>
        <v>#N/A</v>
      </c>
      <c r="D6" s="55" t="e">
        <f t="shared" ca="1" si="6"/>
        <v>#N/A</v>
      </c>
      <c r="E6" s="55" t="e">
        <f t="shared" ca="1" si="6"/>
        <v>#N/A</v>
      </c>
      <c r="F6" s="55" t="e">
        <f t="shared" ca="1" si="6"/>
        <v>#N/A</v>
      </c>
      <c r="G6" s="55" t="e">
        <f t="shared" ca="1" si="6"/>
        <v>#N/A</v>
      </c>
      <c r="H6" s="55" t="e">
        <f t="shared" ca="1" si="6"/>
        <v>#N/A</v>
      </c>
      <c r="I6" s="206" t="e">
        <f t="shared" ca="1" si="6"/>
        <v>#N/A</v>
      </c>
      <c r="K6" s="352" t="s">
        <v>632</v>
      </c>
      <c r="L6" s="360" t="e">
        <f ca="1">CYCTM_2-MOVTM_2</f>
        <v>#N/A</v>
      </c>
      <c r="M6" s="55" t="e">
        <f t="shared" ref="M6:S6" ca="1" si="7">M9-M8</f>
        <v>#N/A</v>
      </c>
      <c r="N6" s="55" t="e">
        <f t="shared" ca="1" si="7"/>
        <v>#N/A</v>
      </c>
      <c r="O6" s="55" t="e">
        <f t="shared" ca="1" si="7"/>
        <v>#N/A</v>
      </c>
      <c r="P6" s="55" t="e">
        <f t="shared" ca="1" si="7"/>
        <v>#N/A</v>
      </c>
      <c r="Q6" s="55" t="e">
        <f t="shared" ca="1" si="7"/>
        <v>#N/A</v>
      </c>
      <c r="R6" s="55" t="e">
        <f t="shared" ca="1" si="7"/>
        <v>#N/A</v>
      </c>
      <c r="S6" s="206" t="e">
        <f t="shared" ca="1" si="7"/>
        <v>#N/A</v>
      </c>
    </row>
    <row r="7" spans="1:19" ht="15.75" thickBot="1" x14ac:dyDescent="0.3">
      <c r="A7" s="352" t="s">
        <v>85</v>
      </c>
      <c r="B7" s="360" t="e">
        <f ca="1">vel/ACCEL</f>
        <v>#N/A</v>
      </c>
      <c r="C7" s="55" t="e">
        <f t="shared" ref="C7:I7" ca="1" si="8">IF(C3&gt;ALLACC,ACCTM,SQRT((C3/12)/ACCEL))</f>
        <v>#N/A</v>
      </c>
      <c r="D7" s="55" t="e">
        <f t="shared" ca="1" si="8"/>
        <v>#N/A</v>
      </c>
      <c r="E7" s="55" t="e">
        <f t="shared" ca="1" si="8"/>
        <v>#N/A</v>
      </c>
      <c r="F7" s="55" t="e">
        <f t="shared" ca="1" si="8"/>
        <v>#N/A</v>
      </c>
      <c r="G7" s="55" t="e">
        <f t="shared" ca="1" si="8"/>
        <v>#N/A</v>
      </c>
      <c r="H7" s="55" t="e">
        <f t="shared" ca="1" si="8"/>
        <v>#N/A</v>
      </c>
      <c r="I7" s="206" t="e">
        <f t="shared" ca="1" si="8"/>
        <v>#N/A</v>
      </c>
      <c r="K7" s="352" t="s">
        <v>85</v>
      </c>
      <c r="L7" s="360" t="e">
        <f ca="1">vel/ACCEL</f>
        <v>#N/A</v>
      </c>
      <c r="M7" s="55" t="e">
        <f t="shared" ref="M7:S7" ca="1" si="9">IF(M3&gt;ALLACC_2,ACCTM_2,SQRT((M3/12)/ACCEL))</f>
        <v>#N/A</v>
      </c>
      <c r="N7" s="55" t="e">
        <f t="shared" ca="1" si="9"/>
        <v>#N/A</v>
      </c>
      <c r="O7" s="55" t="e">
        <f t="shared" ca="1" si="9"/>
        <v>#N/A</v>
      </c>
      <c r="P7" s="55" t="e">
        <f t="shared" ca="1" si="9"/>
        <v>#N/A</v>
      </c>
      <c r="Q7" s="55" t="e">
        <f t="shared" ca="1" si="9"/>
        <v>#N/A</v>
      </c>
      <c r="R7" s="55" t="e">
        <f t="shared" ca="1" si="9"/>
        <v>#N/A</v>
      </c>
      <c r="S7" s="55" t="e">
        <f t="shared" ca="1" si="9"/>
        <v>#N/A</v>
      </c>
    </row>
    <row r="8" spans="1:19" ht="15.75" thickBot="1" x14ac:dyDescent="0.3">
      <c r="A8" s="352" t="s">
        <v>633</v>
      </c>
      <c r="B8" s="360" t="e">
        <f ca="1">((ACCTM*2)+B5+SETTM)</f>
        <v>#N/A</v>
      </c>
      <c r="C8" s="55" t="e">
        <f t="shared" ref="C8:I8" ca="1" si="10">(C7*2)+C5+SETTM</f>
        <v>#N/A</v>
      </c>
      <c r="D8" s="55" t="e">
        <f t="shared" ca="1" si="10"/>
        <v>#N/A</v>
      </c>
      <c r="E8" s="55" t="e">
        <f t="shared" ca="1" si="10"/>
        <v>#N/A</v>
      </c>
      <c r="F8" s="55" t="e">
        <f t="shared" ca="1" si="10"/>
        <v>#N/A</v>
      </c>
      <c r="G8" s="55" t="e">
        <f t="shared" ca="1" si="10"/>
        <v>#N/A</v>
      </c>
      <c r="H8" s="55" t="e">
        <f t="shared" ca="1" si="10"/>
        <v>#N/A</v>
      </c>
      <c r="I8" s="206" t="e">
        <f t="shared" ca="1" si="10"/>
        <v>#N/A</v>
      </c>
      <c r="K8" s="352" t="s">
        <v>633</v>
      </c>
      <c r="L8" s="360" t="e">
        <f ca="1">((ACCTM*2)+L5+SETTM)</f>
        <v>#N/A</v>
      </c>
      <c r="M8" s="55" t="e">
        <f t="shared" ref="M8:S8" ca="1" si="11">(M7*2)+M5+SETTM</f>
        <v>#N/A</v>
      </c>
      <c r="N8" s="55" t="e">
        <f t="shared" ca="1" si="11"/>
        <v>#N/A</v>
      </c>
      <c r="O8" s="55" t="e">
        <f t="shared" ca="1" si="11"/>
        <v>#N/A</v>
      </c>
      <c r="P8" s="55" t="e">
        <f t="shared" ca="1" si="11"/>
        <v>#N/A</v>
      </c>
      <c r="Q8" s="55" t="e">
        <f t="shared" ca="1" si="11"/>
        <v>#N/A</v>
      </c>
      <c r="R8" s="55" t="e">
        <f t="shared" ca="1" si="11"/>
        <v>#N/A</v>
      </c>
      <c r="S8" s="206" t="e">
        <f t="shared" ca="1" si="11"/>
        <v>#N/A</v>
      </c>
    </row>
    <row r="9" spans="1:19" ht="15.75" thickBot="1" x14ac:dyDescent="0.3">
      <c r="A9" s="352" t="s">
        <v>634</v>
      </c>
      <c r="B9" s="360" t="e">
        <f ca="1">IF(application="Press Feed",MOVTM*(360/FA),MOVTM+FA)</f>
        <v>#N/A</v>
      </c>
      <c r="C9" s="55" t="e">
        <f t="shared" ref="C9:I9" ca="1" si="12">IF(application="Press Feed",C8*(360/FA),C8+FA)</f>
        <v>#N/A</v>
      </c>
      <c r="D9" s="55" t="e">
        <f t="shared" ca="1" si="12"/>
        <v>#N/A</v>
      </c>
      <c r="E9" s="55" t="e">
        <f t="shared" ca="1" si="12"/>
        <v>#N/A</v>
      </c>
      <c r="F9" s="55" t="e">
        <f t="shared" ca="1" si="12"/>
        <v>#N/A</v>
      </c>
      <c r="G9" s="55" t="e">
        <f t="shared" ca="1" si="12"/>
        <v>#N/A</v>
      </c>
      <c r="H9" s="55" t="e">
        <f t="shared" ca="1" si="12"/>
        <v>#N/A</v>
      </c>
      <c r="I9" s="55" t="e">
        <f t="shared" ca="1" si="12"/>
        <v>#N/A</v>
      </c>
      <c r="K9" s="352" t="s">
        <v>634</v>
      </c>
      <c r="L9" s="360" t="e">
        <f ca="1">IF(application="Press Feed",MOVTM_2*(360/FA_2),MOVTM_2+FA_2)</f>
        <v>#N/A</v>
      </c>
      <c r="M9" s="55" t="e">
        <f t="shared" ref="M9:S9" ca="1" si="13">IF(application="Press Feed",M8*(360/FA_2),M8+FA_2)</f>
        <v>#N/A</v>
      </c>
      <c r="N9" s="55" t="e">
        <f t="shared" ca="1" si="13"/>
        <v>#N/A</v>
      </c>
      <c r="O9" s="55" t="e">
        <f t="shared" ca="1" si="13"/>
        <v>#N/A</v>
      </c>
      <c r="P9" s="55" t="e">
        <f t="shared" ca="1" si="13"/>
        <v>#N/A</v>
      </c>
      <c r="Q9" s="55" t="e">
        <f t="shared" ca="1" si="13"/>
        <v>#N/A</v>
      </c>
      <c r="R9" s="55" t="e">
        <f t="shared" ca="1" si="13"/>
        <v>#N/A</v>
      </c>
      <c r="S9" s="55" t="e">
        <f t="shared" ca="1" si="13"/>
        <v>#N/A</v>
      </c>
    </row>
    <row r="10" spans="1:19" ht="15.75" thickBot="1" x14ac:dyDescent="0.3">
      <c r="A10" s="352" t="s">
        <v>635</v>
      </c>
      <c r="B10" s="361" t="e">
        <f ca="1">60/CYCTM</f>
        <v>#N/A</v>
      </c>
      <c r="C10" s="233" t="e">
        <f t="shared" ref="C10:I10" ca="1" si="14">IF(60/C9*C3&lt;StrMaxSpInch,ROUNDDOWN(60/C9,0),ROUNDDOWN(StrMaxSpInch/C3,0))</f>
        <v>#N/A</v>
      </c>
      <c r="D10" s="233" t="e">
        <f t="shared" ca="1" si="14"/>
        <v>#N/A</v>
      </c>
      <c r="E10" s="233" t="e">
        <f t="shared" ca="1" si="14"/>
        <v>#N/A</v>
      </c>
      <c r="F10" s="233" t="e">
        <f t="shared" ca="1" si="14"/>
        <v>#N/A</v>
      </c>
      <c r="G10" s="233" t="e">
        <f t="shared" ca="1" si="14"/>
        <v>#N/A</v>
      </c>
      <c r="H10" s="233" t="e">
        <f t="shared" ca="1" si="14"/>
        <v>#N/A</v>
      </c>
      <c r="I10" s="233" t="e">
        <f t="shared" ca="1" si="14"/>
        <v>#N/A</v>
      </c>
      <c r="K10" s="352" t="s">
        <v>635</v>
      </c>
      <c r="L10" s="361" t="e">
        <f ca="1">60/CYCTM_2</f>
        <v>#N/A</v>
      </c>
      <c r="M10" s="233" t="e">
        <f t="shared" ref="M10:S10" ca="1" si="15">IF(60/M9*M3&lt;StrMaxSpInch,ROUNDDOWN(60/M9,0),ROUNDDOWN(StrMaxSpInch/M3,0))</f>
        <v>#N/A</v>
      </c>
      <c r="N10" s="233" t="e">
        <f t="shared" ca="1" si="15"/>
        <v>#N/A</v>
      </c>
      <c r="O10" s="233" t="e">
        <f t="shared" ca="1" si="15"/>
        <v>#N/A</v>
      </c>
      <c r="P10" s="233" t="e">
        <f t="shared" ca="1" si="15"/>
        <v>#N/A</v>
      </c>
      <c r="Q10" s="233" t="e">
        <f t="shared" ca="1" si="15"/>
        <v>#N/A</v>
      </c>
      <c r="R10" s="233" t="e">
        <f t="shared" ca="1" si="15"/>
        <v>#N/A</v>
      </c>
      <c r="S10" s="233" t="e">
        <f t="shared" ca="1" si="15"/>
        <v>#N/A</v>
      </c>
    </row>
    <row r="11" spans="1:19" ht="15.75" thickBot="1" x14ac:dyDescent="0.3">
      <c r="I11" s="201"/>
      <c r="S11" s="201"/>
    </row>
    <row r="12" spans="1:19" ht="15.75" thickBot="1" x14ac:dyDescent="0.3">
      <c r="A12" s="352" t="s">
        <v>123</v>
      </c>
      <c r="B12" s="354">
        <f ca="1">I3+INCR</f>
        <v>32</v>
      </c>
      <c r="C12" s="354">
        <f t="shared" ref="C12:I12" ca="1" si="16">B12+INCR</f>
        <v>36</v>
      </c>
      <c r="D12" s="354">
        <f t="shared" ca="1" si="16"/>
        <v>40</v>
      </c>
      <c r="E12" s="354">
        <f t="shared" ca="1" si="16"/>
        <v>44</v>
      </c>
      <c r="F12" s="354">
        <f t="shared" ca="1" si="16"/>
        <v>48</v>
      </c>
      <c r="G12" s="354">
        <f t="shared" ca="1" si="16"/>
        <v>52</v>
      </c>
      <c r="H12" s="354">
        <f t="shared" ca="1" si="16"/>
        <v>56</v>
      </c>
      <c r="I12" s="354">
        <f t="shared" ca="1" si="16"/>
        <v>60</v>
      </c>
      <c r="K12" s="352" t="s">
        <v>123</v>
      </c>
      <c r="L12" s="354">
        <f ca="1">S3+INCR</f>
        <v>32</v>
      </c>
      <c r="M12" s="354">
        <f t="shared" ref="M12:S12" ca="1" si="17">L12+INCR</f>
        <v>36</v>
      </c>
      <c r="N12" s="354">
        <f t="shared" ca="1" si="17"/>
        <v>40</v>
      </c>
      <c r="O12" s="354">
        <f t="shared" ca="1" si="17"/>
        <v>44</v>
      </c>
      <c r="P12" s="354">
        <f t="shared" ca="1" si="17"/>
        <v>48</v>
      </c>
      <c r="Q12" s="354">
        <f t="shared" ca="1" si="17"/>
        <v>52</v>
      </c>
      <c r="R12" s="354">
        <f t="shared" ca="1" si="17"/>
        <v>56</v>
      </c>
      <c r="S12" s="354">
        <f t="shared" ca="1" si="17"/>
        <v>60</v>
      </c>
    </row>
    <row r="13" spans="1:19" ht="15.75" thickBot="1" x14ac:dyDescent="0.3">
      <c r="A13" s="352" t="s">
        <v>630</v>
      </c>
      <c r="B13" s="355" t="e">
        <f t="shared" ref="B13:I13" ca="1" si="18">SQRT((((PEAKTQ^2)*B16)+((ACCTQ^2)*B16)+(((FRICTQ+LOOPTQ)^2)*B14)+((SETTQ^2)*SETTM)+((LOOPTQ^2)*B15))/B18)</f>
        <v>#N/A</v>
      </c>
      <c r="C13" s="356" t="e">
        <f t="shared" ca="1" si="18"/>
        <v>#N/A</v>
      </c>
      <c r="D13" s="356" t="e">
        <f t="shared" ca="1" si="18"/>
        <v>#N/A</v>
      </c>
      <c r="E13" s="356" t="e">
        <f t="shared" ca="1" si="18"/>
        <v>#N/A</v>
      </c>
      <c r="F13" s="356" t="e">
        <f t="shared" ca="1" si="18"/>
        <v>#N/A</v>
      </c>
      <c r="G13" s="356" t="e">
        <f t="shared" ca="1" si="18"/>
        <v>#N/A</v>
      </c>
      <c r="H13" s="356" t="e">
        <f t="shared" ca="1" si="18"/>
        <v>#N/A</v>
      </c>
      <c r="I13" s="357" t="e">
        <f t="shared" ca="1" si="18"/>
        <v>#N/A</v>
      </c>
      <c r="K13" s="352" t="s">
        <v>630</v>
      </c>
      <c r="L13" s="355" t="e">
        <f t="shared" ref="L13:S13" ca="1" si="19">SQRT((((PEAKTQ^2)*L16)+((ACCTQ^2)*L16)+(((FRICTQ+LOOPTQ)^2)*L14)+((SETTQ^2)*SETTM)+((LOOPTQ^2)*L15))/L18)</f>
        <v>#N/A</v>
      </c>
      <c r="M13" s="356" t="e">
        <f t="shared" ca="1" si="19"/>
        <v>#N/A</v>
      </c>
      <c r="N13" s="356" t="e">
        <f t="shared" ca="1" si="19"/>
        <v>#N/A</v>
      </c>
      <c r="O13" s="356" t="e">
        <f t="shared" ca="1" si="19"/>
        <v>#N/A</v>
      </c>
      <c r="P13" s="356" t="e">
        <f t="shared" ca="1" si="19"/>
        <v>#N/A</v>
      </c>
      <c r="Q13" s="356" t="e">
        <f t="shared" ca="1" si="19"/>
        <v>#N/A</v>
      </c>
      <c r="R13" s="356" t="e">
        <f t="shared" ca="1" si="19"/>
        <v>#N/A</v>
      </c>
      <c r="S13" s="357" t="e">
        <f t="shared" ca="1" si="19"/>
        <v>#N/A</v>
      </c>
    </row>
    <row r="14" spans="1:19" ht="15.75" thickBot="1" x14ac:dyDescent="0.3">
      <c r="A14" s="352" t="s">
        <v>631</v>
      </c>
      <c r="B14" s="360" t="e">
        <f t="shared" ref="B14:I14" ca="1" si="20">IF(B12&gt;ALLACC,((B12-ALLACC)/12)/vel,0)</f>
        <v>#N/A</v>
      </c>
      <c r="C14" s="55" t="e">
        <f t="shared" ca="1" si="20"/>
        <v>#N/A</v>
      </c>
      <c r="D14" s="55" t="e">
        <f t="shared" ca="1" si="20"/>
        <v>#N/A</v>
      </c>
      <c r="E14" s="55" t="e">
        <f t="shared" ca="1" si="20"/>
        <v>#N/A</v>
      </c>
      <c r="F14" s="55" t="e">
        <f t="shared" ca="1" si="20"/>
        <v>#N/A</v>
      </c>
      <c r="G14" s="55" t="e">
        <f t="shared" ca="1" si="20"/>
        <v>#N/A</v>
      </c>
      <c r="H14" s="55" t="e">
        <f t="shared" ca="1" si="20"/>
        <v>#N/A</v>
      </c>
      <c r="I14" s="206" t="e">
        <f t="shared" ca="1" si="20"/>
        <v>#N/A</v>
      </c>
      <c r="K14" s="352" t="s">
        <v>631</v>
      </c>
      <c r="L14" s="360" t="e">
        <f t="shared" ref="L14:S14" ca="1" si="21">IF(L12&gt;ALLACC_2,((L12-ALLACC_2)/12)/vel,0)</f>
        <v>#N/A</v>
      </c>
      <c r="M14" s="360" t="e">
        <f t="shared" ca="1" si="21"/>
        <v>#N/A</v>
      </c>
      <c r="N14" s="360" t="e">
        <f t="shared" ca="1" si="21"/>
        <v>#N/A</v>
      </c>
      <c r="O14" s="360" t="e">
        <f t="shared" ca="1" si="21"/>
        <v>#N/A</v>
      </c>
      <c r="P14" s="360" t="e">
        <f t="shared" ca="1" si="21"/>
        <v>#N/A</v>
      </c>
      <c r="Q14" s="360" t="e">
        <f t="shared" ca="1" si="21"/>
        <v>#N/A</v>
      </c>
      <c r="R14" s="360" t="e">
        <f t="shared" ca="1" si="21"/>
        <v>#N/A</v>
      </c>
      <c r="S14" s="360" t="e">
        <f t="shared" ca="1" si="21"/>
        <v>#N/A</v>
      </c>
    </row>
    <row r="15" spans="1:19" ht="15.75" thickBot="1" x14ac:dyDescent="0.3">
      <c r="A15" s="352" t="s">
        <v>632</v>
      </c>
      <c r="B15" s="360" t="e">
        <f t="shared" ref="B15:I15" ca="1" si="22">B18-B17</f>
        <v>#N/A</v>
      </c>
      <c r="C15" s="55" t="e">
        <f t="shared" ca="1" si="22"/>
        <v>#N/A</v>
      </c>
      <c r="D15" s="55" t="e">
        <f t="shared" ca="1" si="22"/>
        <v>#N/A</v>
      </c>
      <c r="E15" s="55" t="e">
        <f t="shared" ca="1" si="22"/>
        <v>#N/A</v>
      </c>
      <c r="F15" s="55" t="e">
        <f t="shared" ca="1" si="22"/>
        <v>#N/A</v>
      </c>
      <c r="G15" s="55" t="e">
        <f t="shared" ca="1" si="22"/>
        <v>#N/A</v>
      </c>
      <c r="H15" s="55" t="e">
        <f t="shared" ca="1" si="22"/>
        <v>#N/A</v>
      </c>
      <c r="I15" s="206" t="e">
        <f t="shared" ca="1" si="22"/>
        <v>#N/A</v>
      </c>
      <c r="K15" s="352" t="s">
        <v>632</v>
      </c>
      <c r="L15" s="360" t="e">
        <f t="shared" ref="L15:S15" ca="1" si="23">L18-L17</f>
        <v>#N/A</v>
      </c>
      <c r="M15" s="55" t="e">
        <f t="shared" ca="1" si="23"/>
        <v>#N/A</v>
      </c>
      <c r="N15" s="55" t="e">
        <f t="shared" ca="1" si="23"/>
        <v>#N/A</v>
      </c>
      <c r="O15" s="55" t="e">
        <f t="shared" ca="1" si="23"/>
        <v>#N/A</v>
      </c>
      <c r="P15" s="55" t="e">
        <f t="shared" ca="1" si="23"/>
        <v>#N/A</v>
      </c>
      <c r="Q15" s="55" t="e">
        <f t="shared" ca="1" si="23"/>
        <v>#N/A</v>
      </c>
      <c r="R15" s="55" t="e">
        <f t="shared" ca="1" si="23"/>
        <v>#N/A</v>
      </c>
      <c r="S15" s="206" t="e">
        <f t="shared" ca="1" si="23"/>
        <v>#N/A</v>
      </c>
    </row>
    <row r="16" spans="1:19" ht="15.75" thickBot="1" x14ac:dyDescent="0.3">
      <c r="A16" s="352" t="s">
        <v>85</v>
      </c>
      <c r="B16" s="360" t="e">
        <f t="shared" ref="B16:I16" ca="1" si="24">IF(B12&gt;ALLACC,ACCTM,SQRT((B12/12)/ACCEL))</f>
        <v>#N/A</v>
      </c>
      <c r="C16" s="55" t="e">
        <f t="shared" ca="1" si="24"/>
        <v>#N/A</v>
      </c>
      <c r="D16" s="55" t="e">
        <f t="shared" ca="1" si="24"/>
        <v>#N/A</v>
      </c>
      <c r="E16" s="55" t="e">
        <f t="shared" ca="1" si="24"/>
        <v>#N/A</v>
      </c>
      <c r="F16" s="55" t="e">
        <f t="shared" ca="1" si="24"/>
        <v>#N/A</v>
      </c>
      <c r="G16" s="55" t="e">
        <f t="shared" ca="1" si="24"/>
        <v>#N/A</v>
      </c>
      <c r="H16" s="55" t="e">
        <f t="shared" ca="1" si="24"/>
        <v>#N/A</v>
      </c>
      <c r="I16" s="206" t="e">
        <f t="shared" ca="1" si="24"/>
        <v>#N/A</v>
      </c>
      <c r="K16" s="352" t="s">
        <v>85</v>
      </c>
      <c r="L16" s="360" t="e">
        <f t="shared" ref="L16:S16" ca="1" si="25">IF(L12&gt;ALLACC_2,ACCTM_2,SQRT((L12/12)/ACCEL))</f>
        <v>#N/A</v>
      </c>
      <c r="M16" s="360" t="e">
        <f t="shared" ca="1" si="25"/>
        <v>#N/A</v>
      </c>
      <c r="N16" s="360" t="e">
        <f t="shared" ca="1" si="25"/>
        <v>#N/A</v>
      </c>
      <c r="O16" s="360" t="e">
        <f t="shared" ca="1" si="25"/>
        <v>#N/A</v>
      </c>
      <c r="P16" s="360" t="e">
        <f t="shared" ca="1" si="25"/>
        <v>#N/A</v>
      </c>
      <c r="Q16" s="360" t="e">
        <f t="shared" ca="1" si="25"/>
        <v>#N/A</v>
      </c>
      <c r="R16" s="360" t="e">
        <f t="shared" ca="1" si="25"/>
        <v>#N/A</v>
      </c>
      <c r="S16" s="360" t="e">
        <f t="shared" ca="1" si="25"/>
        <v>#N/A</v>
      </c>
    </row>
    <row r="17" spans="1:19" ht="15.75" thickBot="1" x14ac:dyDescent="0.3">
      <c r="A17" s="352" t="s">
        <v>633</v>
      </c>
      <c r="B17" s="360" t="e">
        <f t="shared" ref="B17:I17" ca="1" si="26">(B16*2)+B14+SETTM</f>
        <v>#N/A</v>
      </c>
      <c r="C17" s="55" t="e">
        <f t="shared" ca="1" si="26"/>
        <v>#N/A</v>
      </c>
      <c r="D17" s="55" t="e">
        <f t="shared" ca="1" si="26"/>
        <v>#N/A</v>
      </c>
      <c r="E17" s="55" t="e">
        <f t="shared" ca="1" si="26"/>
        <v>#N/A</v>
      </c>
      <c r="F17" s="55" t="e">
        <f t="shared" ca="1" si="26"/>
        <v>#N/A</v>
      </c>
      <c r="G17" s="55" t="e">
        <f t="shared" ca="1" si="26"/>
        <v>#N/A</v>
      </c>
      <c r="H17" s="55" t="e">
        <f t="shared" ca="1" si="26"/>
        <v>#N/A</v>
      </c>
      <c r="I17" s="206" t="e">
        <f t="shared" ca="1" si="26"/>
        <v>#N/A</v>
      </c>
      <c r="K17" s="352" t="s">
        <v>633</v>
      </c>
      <c r="L17" s="360" t="e">
        <f t="shared" ref="L17:S17" ca="1" si="27">(L16*2)+L14+SETTM</f>
        <v>#N/A</v>
      </c>
      <c r="M17" s="55" t="e">
        <f t="shared" ca="1" si="27"/>
        <v>#N/A</v>
      </c>
      <c r="N17" s="55" t="e">
        <f t="shared" ca="1" si="27"/>
        <v>#N/A</v>
      </c>
      <c r="O17" s="55" t="e">
        <f t="shared" ca="1" si="27"/>
        <v>#N/A</v>
      </c>
      <c r="P17" s="55" t="e">
        <f t="shared" ca="1" si="27"/>
        <v>#N/A</v>
      </c>
      <c r="Q17" s="55" t="e">
        <f t="shared" ca="1" si="27"/>
        <v>#N/A</v>
      </c>
      <c r="R17" s="55" t="e">
        <f t="shared" ca="1" si="27"/>
        <v>#N/A</v>
      </c>
      <c r="S17" s="206" t="e">
        <f t="shared" ca="1" si="27"/>
        <v>#N/A</v>
      </c>
    </row>
    <row r="18" spans="1:19" ht="15.75" thickBot="1" x14ac:dyDescent="0.3">
      <c r="A18" s="352" t="s">
        <v>634</v>
      </c>
      <c r="B18" s="360" t="e">
        <f t="shared" ref="B18:I18" ca="1" si="28">IF(application="Press Feed",B17*(360/FA),B17+FA)</f>
        <v>#N/A</v>
      </c>
      <c r="C18" s="360" t="e">
        <f t="shared" ca="1" si="28"/>
        <v>#N/A</v>
      </c>
      <c r="D18" s="360" t="e">
        <f t="shared" ca="1" si="28"/>
        <v>#N/A</v>
      </c>
      <c r="E18" s="360" t="e">
        <f t="shared" ca="1" si="28"/>
        <v>#N/A</v>
      </c>
      <c r="F18" s="360" t="e">
        <f t="shared" ca="1" si="28"/>
        <v>#N/A</v>
      </c>
      <c r="G18" s="360" t="e">
        <f t="shared" ca="1" si="28"/>
        <v>#N/A</v>
      </c>
      <c r="H18" s="360" t="e">
        <f t="shared" ca="1" si="28"/>
        <v>#N/A</v>
      </c>
      <c r="I18" s="360" t="e">
        <f t="shared" ca="1" si="28"/>
        <v>#N/A</v>
      </c>
      <c r="K18" s="352" t="s">
        <v>634</v>
      </c>
      <c r="L18" s="360" t="e">
        <f t="shared" ref="L18:S18" ca="1" si="29">IF(application="Press Feed",L17*(360/FA_2),L17+FA_2)</f>
        <v>#N/A</v>
      </c>
      <c r="M18" s="360" t="e">
        <f t="shared" ca="1" si="29"/>
        <v>#N/A</v>
      </c>
      <c r="N18" s="360" t="e">
        <f t="shared" ca="1" si="29"/>
        <v>#N/A</v>
      </c>
      <c r="O18" s="360" t="e">
        <f t="shared" ca="1" si="29"/>
        <v>#N/A</v>
      </c>
      <c r="P18" s="360" t="e">
        <f t="shared" ca="1" si="29"/>
        <v>#N/A</v>
      </c>
      <c r="Q18" s="360" t="e">
        <f t="shared" ca="1" si="29"/>
        <v>#N/A</v>
      </c>
      <c r="R18" s="360" t="e">
        <f t="shared" ca="1" si="29"/>
        <v>#N/A</v>
      </c>
      <c r="S18" s="360" t="e">
        <f t="shared" ca="1" si="29"/>
        <v>#N/A</v>
      </c>
    </row>
    <row r="19" spans="1:19" ht="15.75" thickBot="1" x14ac:dyDescent="0.3">
      <c r="A19" s="352" t="s">
        <v>635</v>
      </c>
      <c r="B19" s="362" t="e">
        <f t="shared" ref="B19:I19" ca="1" si="30">IF(60/B18*B12&lt;StrMaxSpInch,ROUNDDOWN(60/B18,0),ROUNDDOWN(StrMaxSpInch/B12,0))</f>
        <v>#N/A</v>
      </c>
      <c r="C19" s="362" t="e">
        <f t="shared" ca="1" si="30"/>
        <v>#N/A</v>
      </c>
      <c r="D19" s="362" t="e">
        <f t="shared" ca="1" si="30"/>
        <v>#N/A</v>
      </c>
      <c r="E19" s="362" t="e">
        <f t="shared" ca="1" si="30"/>
        <v>#N/A</v>
      </c>
      <c r="F19" s="362" t="e">
        <f t="shared" ca="1" si="30"/>
        <v>#N/A</v>
      </c>
      <c r="G19" s="362" t="e">
        <f t="shared" ca="1" si="30"/>
        <v>#N/A</v>
      </c>
      <c r="H19" s="362" t="e">
        <f t="shared" ca="1" si="30"/>
        <v>#N/A</v>
      </c>
      <c r="I19" s="362" t="e">
        <f t="shared" ca="1" si="30"/>
        <v>#N/A</v>
      </c>
      <c r="K19" s="352" t="s">
        <v>635</v>
      </c>
      <c r="L19" s="362" t="e">
        <f t="shared" ref="L19:S19" ca="1" si="31">IF(60/L18*L12&lt;StrMaxSpInch,ROUNDDOWN(60/L18,0),ROUNDDOWN(StrMaxSpInch/L12,0))</f>
        <v>#N/A</v>
      </c>
      <c r="M19" s="362" t="e">
        <f t="shared" ca="1" si="31"/>
        <v>#N/A</v>
      </c>
      <c r="N19" s="362" t="e">
        <f t="shared" ca="1" si="31"/>
        <v>#N/A</v>
      </c>
      <c r="O19" s="362" t="e">
        <f t="shared" ca="1" si="31"/>
        <v>#N/A</v>
      </c>
      <c r="P19" s="362" t="e">
        <f t="shared" ca="1" si="31"/>
        <v>#N/A</v>
      </c>
      <c r="Q19" s="362" t="e">
        <f t="shared" ca="1" si="31"/>
        <v>#N/A</v>
      </c>
      <c r="R19" s="362" t="e">
        <f t="shared" ca="1" si="31"/>
        <v>#N/A</v>
      </c>
      <c r="S19" s="362" t="e">
        <f t="shared" ca="1" si="31"/>
        <v>#N/A</v>
      </c>
    </row>
    <row r="20" spans="1:19" ht="15.75" thickBot="1" x14ac:dyDescent="0.3">
      <c r="I20" s="201"/>
      <c r="S20" s="201"/>
    </row>
    <row r="21" spans="1:19" ht="15.75" thickBot="1" x14ac:dyDescent="0.3">
      <c r="A21" s="352" t="s">
        <v>123</v>
      </c>
      <c r="B21" s="363">
        <f ca="1">I12+INCR</f>
        <v>64</v>
      </c>
      <c r="C21" s="354">
        <f t="shared" ref="C21:I21" ca="1" si="32">B21+INCR</f>
        <v>68</v>
      </c>
      <c r="D21" s="354">
        <f t="shared" ca="1" si="32"/>
        <v>72</v>
      </c>
      <c r="E21" s="354">
        <f t="shared" ca="1" si="32"/>
        <v>76</v>
      </c>
      <c r="F21" s="354">
        <f t="shared" ca="1" si="32"/>
        <v>80</v>
      </c>
      <c r="G21" s="354">
        <f t="shared" ca="1" si="32"/>
        <v>84</v>
      </c>
      <c r="H21" s="354">
        <f t="shared" ca="1" si="32"/>
        <v>88</v>
      </c>
      <c r="I21" s="354">
        <f t="shared" ca="1" si="32"/>
        <v>92</v>
      </c>
      <c r="K21" s="352" t="s">
        <v>123</v>
      </c>
      <c r="L21" s="363">
        <f ca="1">S12+INCR</f>
        <v>64</v>
      </c>
      <c r="M21" s="354">
        <f t="shared" ref="M21:S21" ca="1" si="33">L21+INCR</f>
        <v>68</v>
      </c>
      <c r="N21" s="354">
        <f t="shared" ca="1" si="33"/>
        <v>72</v>
      </c>
      <c r="O21" s="354">
        <f t="shared" ca="1" si="33"/>
        <v>76</v>
      </c>
      <c r="P21" s="354">
        <f t="shared" ca="1" si="33"/>
        <v>80</v>
      </c>
      <c r="Q21" s="354">
        <f t="shared" ca="1" si="33"/>
        <v>84</v>
      </c>
      <c r="R21" s="354">
        <f t="shared" ca="1" si="33"/>
        <v>88</v>
      </c>
      <c r="S21" s="354">
        <f t="shared" ca="1" si="33"/>
        <v>92</v>
      </c>
    </row>
    <row r="22" spans="1:19" ht="15.75" thickBot="1" x14ac:dyDescent="0.3">
      <c r="A22" s="352" t="s">
        <v>630</v>
      </c>
      <c r="B22" s="355" t="e">
        <f t="shared" ref="B22:I22" ca="1" si="34">SQRT((((PEAKTQ^2)*B25)+((ACCTQ^2)*B25)+(((FRICTQ+LOOPTQ)^2)*B23)+((SETTQ^2)*SETTM)+((LOOPTQ^2)*B24))/B27)</f>
        <v>#N/A</v>
      </c>
      <c r="C22" s="356" t="e">
        <f t="shared" ca="1" si="34"/>
        <v>#N/A</v>
      </c>
      <c r="D22" s="356" t="e">
        <f t="shared" ca="1" si="34"/>
        <v>#N/A</v>
      </c>
      <c r="E22" s="356" t="e">
        <f t="shared" ca="1" si="34"/>
        <v>#N/A</v>
      </c>
      <c r="F22" s="356" t="e">
        <f t="shared" ca="1" si="34"/>
        <v>#N/A</v>
      </c>
      <c r="G22" s="356" t="e">
        <f t="shared" ca="1" si="34"/>
        <v>#N/A</v>
      </c>
      <c r="H22" s="356" t="e">
        <f t="shared" ca="1" si="34"/>
        <v>#N/A</v>
      </c>
      <c r="I22" s="357" t="e">
        <f t="shared" ca="1" si="34"/>
        <v>#N/A</v>
      </c>
      <c r="K22" s="352" t="s">
        <v>630</v>
      </c>
      <c r="L22" s="355" t="e">
        <f t="shared" ref="L22:S22" ca="1" si="35">SQRT((((PEAKTQ^2)*L25)+((ACCTQ^2)*L25)+(((FRICTQ+LOOPTQ)^2)*L23)+((SETTQ^2)*SETTM)+((LOOPTQ^2)*L24))/L27)</f>
        <v>#N/A</v>
      </c>
      <c r="M22" s="356" t="e">
        <f t="shared" ca="1" si="35"/>
        <v>#N/A</v>
      </c>
      <c r="N22" s="356" t="e">
        <f t="shared" ca="1" si="35"/>
        <v>#N/A</v>
      </c>
      <c r="O22" s="356" t="e">
        <f t="shared" ca="1" si="35"/>
        <v>#N/A</v>
      </c>
      <c r="P22" s="356" t="e">
        <f t="shared" ca="1" si="35"/>
        <v>#N/A</v>
      </c>
      <c r="Q22" s="356" t="e">
        <f t="shared" ca="1" si="35"/>
        <v>#N/A</v>
      </c>
      <c r="R22" s="356" t="e">
        <f t="shared" ca="1" si="35"/>
        <v>#N/A</v>
      </c>
      <c r="S22" s="357" t="e">
        <f t="shared" ca="1" si="35"/>
        <v>#N/A</v>
      </c>
    </row>
    <row r="23" spans="1:19" ht="15.75" thickBot="1" x14ac:dyDescent="0.3">
      <c r="A23" s="352" t="s">
        <v>631</v>
      </c>
      <c r="B23" s="360" t="e">
        <f t="shared" ref="B23:I23" ca="1" si="36">IF(B21&gt;ALLACC,((B21-ALLACC)/12)/vel,0)</f>
        <v>#N/A</v>
      </c>
      <c r="C23" s="55" t="e">
        <f t="shared" ca="1" si="36"/>
        <v>#N/A</v>
      </c>
      <c r="D23" s="55" t="e">
        <f t="shared" ca="1" si="36"/>
        <v>#N/A</v>
      </c>
      <c r="E23" s="55" t="e">
        <f t="shared" ca="1" si="36"/>
        <v>#N/A</v>
      </c>
      <c r="F23" s="55" t="e">
        <f t="shared" ca="1" si="36"/>
        <v>#N/A</v>
      </c>
      <c r="G23" s="55" t="e">
        <f t="shared" ca="1" si="36"/>
        <v>#N/A</v>
      </c>
      <c r="H23" s="55" t="e">
        <f t="shared" ca="1" si="36"/>
        <v>#N/A</v>
      </c>
      <c r="I23" s="206" t="e">
        <f t="shared" ca="1" si="36"/>
        <v>#N/A</v>
      </c>
      <c r="K23" s="352" t="s">
        <v>631</v>
      </c>
      <c r="L23" s="360" t="e">
        <f t="shared" ref="L23:S23" ca="1" si="37">IF(L21&gt;ALLACC_2,((L21-ALLACC_2)/12)/vel,0)</f>
        <v>#N/A</v>
      </c>
      <c r="M23" s="360" t="e">
        <f t="shared" ca="1" si="37"/>
        <v>#N/A</v>
      </c>
      <c r="N23" s="360" t="e">
        <f t="shared" ca="1" si="37"/>
        <v>#N/A</v>
      </c>
      <c r="O23" s="360" t="e">
        <f t="shared" ca="1" si="37"/>
        <v>#N/A</v>
      </c>
      <c r="P23" s="360" t="e">
        <f t="shared" ca="1" si="37"/>
        <v>#N/A</v>
      </c>
      <c r="Q23" s="360" t="e">
        <f t="shared" ca="1" si="37"/>
        <v>#N/A</v>
      </c>
      <c r="R23" s="360" t="e">
        <f t="shared" ca="1" si="37"/>
        <v>#N/A</v>
      </c>
      <c r="S23" s="360" t="e">
        <f t="shared" ca="1" si="37"/>
        <v>#N/A</v>
      </c>
    </row>
    <row r="24" spans="1:19" ht="15.75" thickBot="1" x14ac:dyDescent="0.3">
      <c r="A24" s="352" t="s">
        <v>632</v>
      </c>
      <c r="B24" s="360" t="e">
        <f t="shared" ref="B24:I24" ca="1" si="38">B27-B26</f>
        <v>#N/A</v>
      </c>
      <c r="C24" s="55" t="e">
        <f t="shared" ca="1" si="38"/>
        <v>#N/A</v>
      </c>
      <c r="D24" s="55" t="e">
        <f t="shared" ca="1" si="38"/>
        <v>#N/A</v>
      </c>
      <c r="E24" s="55" t="e">
        <f t="shared" ca="1" si="38"/>
        <v>#N/A</v>
      </c>
      <c r="F24" s="55" t="e">
        <f t="shared" ca="1" si="38"/>
        <v>#N/A</v>
      </c>
      <c r="G24" s="55" t="e">
        <f t="shared" ca="1" si="38"/>
        <v>#N/A</v>
      </c>
      <c r="H24" s="55" t="e">
        <f t="shared" ca="1" si="38"/>
        <v>#N/A</v>
      </c>
      <c r="I24" s="206" t="e">
        <f t="shared" ca="1" si="38"/>
        <v>#N/A</v>
      </c>
      <c r="K24" s="352" t="s">
        <v>632</v>
      </c>
      <c r="L24" s="360" t="e">
        <f t="shared" ref="L24:S24" ca="1" si="39">L27-L26</f>
        <v>#N/A</v>
      </c>
      <c r="M24" s="55" t="e">
        <f t="shared" ca="1" si="39"/>
        <v>#N/A</v>
      </c>
      <c r="N24" s="55" t="e">
        <f t="shared" ca="1" si="39"/>
        <v>#N/A</v>
      </c>
      <c r="O24" s="55" t="e">
        <f t="shared" ca="1" si="39"/>
        <v>#N/A</v>
      </c>
      <c r="P24" s="55" t="e">
        <f t="shared" ca="1" si="39"/>
        <v>#N/A</v>
      </c>
      <c r="Q24" s="55" t="e">
        <f t="shared" ca="1" si="39"/>
        <v>#N/A</v>
      </c>
      <c r="R24" s="55" t="e">
        <f t="shared" ca="1" si="39"/>
        <v>#N/A</v>
      </c>
      <c r="S24" s="206" t="e">
        <f t="shared" ca="1" si="39"/>
        <v>#N/A</v>
      </c>
    </row>
    <row r="25" spans="1:19" ht="15.75" thickBot="1" x14ac:dyDescent="0.3">
      <c r="A25" s="352" t="s">
        <v>85</v>
      </c>
      <c r="B25" s="360" t="e">
        <f t="shared" ref="B25:I25" ca="1" si="40">IF(B21&gt;ALLACC,ACCTM,SQRT((B21/12)/ACCEL))</f>
        <v>#N/A</v>
      </c>
      <c r="C25" s="55" t="e">
        <f t="shared" ca="1" si="40"/>
        <v>#N/A</v>
      </c>
      <c r="D25" s="55" t="e">
        <f t="shared" ca="1" si="40"/>
        <v>#N/A</v>
      </c>
      <c r="E25" s="55" t="e">
        <f t="shared" ca="1" si="40"/>
        <v>#N/A</v>
      </c>
      <c r="F25" s="55" t="e">
        <f t="shared" ca="1" si="40"/>
        <v>#N/A</v>
      </c>
      <c r="G25" s="55" t="e">
        <f t="shared" ca="1" si="40"/>
        <v>#N/A</v>
      </c>
      <c r="H25" s="55" t="e">
        <f t="shared" ca="1" si="40"/>
        <v>#N/A</v>
      </c>
      <c r="I25" s="206" t="e">
        <f t="shared" ca="1" si="40"/>
        <v>#N/A</v>
      </c>
      <c r="K25" s="352" t="s">
        <v>85</v>
      </c>
      <c r="L25" s="360" t="e">
        <f t="shared" ref="L25:S25" ca="1" si="41">IF(L21&gt;ALLACC_2,ACCTM_2,SQRT((L21/12)/ACCEL))</f>
        <v>#N/A</v>
      </c>
      <c r="M25" s="360" t="e">
        <f t="shared" ca="1" si="41"/>
        <v>#N/A</v>
      </c>
      <c r="N25" s="360" t="e">
        <f t="shared" ca="1" si="41"/>
        <v>#N/A</v>
      </c>
      <c r="O25" s="360" t="e">
        <f t="shared" ca="1" si="41"/>
        <v>#N/A</v>
      </c>
      <c r="P25" s="360" t="e">
        <f t="shared" ca="1" si="41"/>
        <v>#N/A</v>
      </c>
      <c r="Q25" s="360" t="e">
        <f t="shared" ca="1" si="41"/>
        <v>#N/A</v>
      </c>
      <c r="R25" s="360" t="e">
        <f t="shared" ca="1" si="41"/>
        <v>#N/A</v>
      </c>
      <c r="S25" s="360" t="e">
        <f t="shared" ca="1" si="41"/>
        <v>#N/A</v>
      </c>
    </row>
    <row r="26" spans="1:19" ht="15.75" thickBot="1" x14ac:dyDescent="0.3">
      <c r="A26" s="352" t="s">
        <v>633</v>
      </c>
      <c r="B26" s="360" t="e">
        <f t="shared" ref="B26:I26" ca="1" si="42">(B25*2)+B23+SETTM</f>
        <v>#N/A</v>
      </c>
      <c r="C26" s="55" t="e">
        <f t="shared" ca="1" si="42"/>
        <v>#N/A</v>
      </c>
      <c r="D26" s="55" t="e">
        <f t="shared" ca="1" si="42"/>
        <v>#N/A</v>
      </c>
      <c r="E26" s="55" t="e">
        <f t="shared" ca="1" si="42"/>
        <v>#N/A</v>
      </c>
      <c r="F26" s="55" t="e">
        <f t="shared" ca="1" si="42"/>
        <v>#N/A</v>
      </c>
      <c r="G26" s="55" t="e">
        <f t="shared" ca="1" si="42"/>
        <v>#N/A</v>
      </c>
      <c r="H26" s="55" t="e">
        <f t="shared" ca="1" si="42"/>
        <v>#N/A</v>
      </c>
      <c r="I26" s="206" t="e">
        <f t="shared" ca="1" si="42"/>
        <v>#N/A</v>
      </c>
      <c r="K26" s="352" t="s">
        <v>633</v>
      </c>
      <c r="L26" s="360" t="e">
        <f t="shared" ref="L26:S26" ca="1" si="43">(L25*2)+L23+SETTM</f>
        <v>#N/A</v>
      </c>
      <c r="M26" s="55" t="e">
        <f t="shared" ca="1" si="43"/>
        <v>#N/A</v>
      </c>
      <c r="N26" s="55" t="e">
        <f t="shared" ca="1" si="43"/>
        <v>#N/A</v>
      </c>
      <c r="O26" s="55" t="e">
        <f t="shared" ca="1" si="43"/>
        <v>#N/A</v>
      </c>
      <c r="P26" s="55" t="e">
        <f t="shared" ca="1" si="43"/>
        <v>#N/A</v>
      </c>
      <c r="Q26" s="55" t="e">
        <f t="shared" ca="1" si="43"/>
        <v>#N/A</v>
      </c>
      <c r="R26" s="55" t="e">
        <f t="shared" ca="1" si="43"/>
        <v>#N/A</v>
      </c>
      <c r="S26" s="206" t="e">
        <f t="shared" ca="1" si="43"/>
        <v>#N/A</v>
      </c>
    </row>
    <row r="27" spans="1:19" ht="15.75" thickBot="1" x14ac:dyDescent="0.3">
      <c r="A27" s="352" t="s">
        <v>634</v>
      </c>
      <c r="B27" s="360" t="e">
        <f t="shared" ref="B27:I27" ca="1" si="44">IF(application="Press Feed",B26*(360/FA),B26+FA)</f>
        <v>#N/A</v>
      </c>
      <c r="C27" s="360" t="e">
        <f t="shared" ca="1" si="44"/>
        <v>#N/A</v>
      </c>
      <c r="D27" s="360" t="e">
        <f t="shared" ca="1" si="44"/>
        <v>#N/A</v>
      </c>
      <c r="E27" s="360" t="e">
        <f t="shared" ca="1" si="44"/>
        <v>#N/A</v>
      </c>
      <c r="F27" s="360" t="e">
        <f t="shared" ca="1" si="44"/>
        <v>#N/A</v>
      </c>
      <c r="G27" s="360" t="e">
        <f t="shared" ca="1" si="44"/>
        <v>#N/A</v>
      </c>
      <c r="H27" s="360" t="e">
        <f t="shared" ca="1" si="44"/>
        <v>#N/A</v>
      </c>
      <c r="I27" s="360" t="e">
        <f t="shared" ca="1" si="44"/>
        <v>#N/A</v>
      </c>
      <c r="K27" s="352" t="s">
        <v>634</v>
      </c>
      <c r="L27" s="360" t="e">
        <f t="shared" ref="L27:S27" ca="1" si="45">IF(application="Press Feed",L26*(360/FA_2),L26+FA_2)</f>
        <v>#N/A</v>
      </c>
      <c r="M27" s="360" t="e">
        <f t="shared" ca="1" si="45"/>
        <v>#N/A</v>
      </c>
      <c r="N27" s="360" t="e">
        <f t="shared" ca="1" si="45"/>
        <v>#N/A</v>
      </c>
      <c r="O27" s="360" t="e">
        <f t="shared" ca="1" si="45"/>
        <v>#N/A</v>
      </c>
      <c r="P27" s="360" t="e">
        <f t="shared" ca="1" si="45"/>
        <v>#N/A</v>
      </c>
      <c r="Q27" s="360" t="e">
        <f t="shared" ca="1" si="45"/>
        <v>#N/A</v>
      </c>
      <c r="R27" s="360" t="e">
        <f t="shared" ca="1" si="45"/>
        <v>#N/A</v>
      </c>
      <c r="S27" s="360" t="e">
        <f t="shared" ca="1" si="45"/>
        <v>#N/A</v>
      </c>
    </row>
    <row r="28" spans="1:19" ht="15.75" thickBot="1" x14ac:dyDescent="0.3">
      <c r="A28" s="352" t="s">
        <v>635</v>
      </c>
      <c r="B28" s="362" t="e">
        <f t="shared" ref="B28:I28" ca="1" si="46">IF(60/B27*B21&lt;StrMaxSpInch,ROUNDDOWN(60/B27,0),ROUNDDOWN(StrMaxSpInch/B21,0))</f>
        <v>#N/A</v>
      </c>
      <c r="C28" s="362" t="e">
        <f t="shared" ca="1" si="46"/>
        <v>#N/A</v>
      </c>
      <c r="D28" s="362" t="e">
        <f t="shared" ca="1" si="46"/>
        <v>#N/A</v>
      </c>
      <c r="E28" s="362" t="e">
        <f t="shared" ca="1" si="46"/>
        <v>#N/A</v>
      </c>
      <c r="F28" s="362" t="e">
        <f t="shared" ca="1" si="46"/>
        <v>#N/A</v>
      </c>
      <c r="G28" s="362" t="e">
        <f t="shared" ca="1" si="46"/>
        <v>#N/A</v>
      </c>
      <c r="H28" s="362" t="e">
        <f t="shared" ca="1" si="46"/>
        <v>#N/A</v>
      </c>
      <c r="I28" s="362" t="e">
        <f t="shared" ca="1" si="46"/>
        <v>#N/A</v>
      </c>
      <c r="K28" s="352" t="s">
        <v>635</v>
      </c>
      <c r="L28" s="362" t="e">
        <f t="shared" ref="L28:S28" ca="1" si="47">IF(60/L27*L21&lt;StrMaxSpInch,ROUNDDOWN(60/L27,0),ROUNDDOWN(StrMaxSpInch/L21,0))</f>
        <v>#N/A</v>
      </c>
      <c r="M28" s="362" t="e">
        <f t="shared" ca="1" si="47"/>
        <v>#N/A</v>
      </c>
      <c r="N28" s="362" t="e">
        <f t="shared" ca="1" si="47"/>
        <v>#N/A</v>
      </c>
      <c r="O28" s="362" t="e">
        <f t="shared" ca="1" si="47"/>
        <v>#N/A</v>
      </c>
      <c r="P28" s="362" t="e">
        <f t="shared" ca="1" si="47"/>
        <v>#N/A</v>
      </c>
      <c r="Q28" s="362" t="e">
        <f t="shared" ca="1" si="47"/>
        <v>#N/A</v>
      </c>
      <c r="R28" s="362" t="e">
        <f t="shared" ca="1" si="47"/>
        <v>#N/A</v>
      </c>
      <c r="S28" s="362" t="e">
        <f t="shared" ca="1" si="47"/>
        <v>#N/A</v>
      </c>
    </row>
    <row r="31" spans="1:19" x14ac:dyDescent="0.25">
      <c r="A31" t="s">
        <v>1055</v>
      </c>
      <c r="D31" s="531" t="s">
        <v>829</v>
      </c>
    </row>
    <row r="32" spans="1:19" x14ac:dyDescent="0.25">
      <c r="A32" t="s">
        <v>917</v>
      </c>
      <c r="B32" t="e">
        <f ca="1">INDIRECT("'" &amp; A$31 &amp; "'!" &amp; A32)</f>
        <v>#N/A</v>
      </c>
      <c r="D32" t="s">
        <v>905</v>
      </c>
      <c r="E32">
        <f t="shared" ref="E32:E66" ca="1" si="48">INDIRECT("'" &amp; $D$31 &amp; "'!" &amp; $D32)</f>
        <v>80</v>
      </c>
    </row>
    <row r="33" spans="1:5" x14ac:dyDescent="0.25">
      <c r="A33" t="s">
        <v>490</v>
      </c>
      <c r="B33" t="e">
        <f t="shared" ref="B33:B40" ca="1" si="49">INDIRECT("'" &amp; A$31 &amp; "'!" &amp; A33)</f>
        <v>#N/A</v>
      </c>
      <c r="D33" t="s">
        <v>910</v>
      </c>
      <c r="E33" t="e">
        <f t="shared" ca="1" si="48"/>
        <v>#N/A</v>
      </c>
    </row>
    <row r="34" spans="1:5" x14ac:dyDescent="0.25">
      <c r="A34" t="s">
        <v>920</v>
      </c>
      <c r="B34" t="e">
        <f t="shared" ca="1" si="49"/>
        <v>#N/A</v>
      </c>
      <c r="D34" t="s">
        <v>911</v>
      </c>
      <c r="E34" t="e">
        <f t="shared" ca="1" si="48"/>
        <v>#N/A</v>
      </c>
    </row>
    <row r="35" spans="1:5" x14ac:dyDescent="0.25">
      <c r="A35" t="s">
        <v>921</v>
      </c>
      <c r="B35" t="e">
        <f t="shared" ca="1" si="49"/>
        <v>#N/A</v>
      </c>
      <c r="D35" t="s">
        <v>914</v>
      </c>
      <c r="E35" t="str">
        <f t="shared" ca="1" si="48"/>
        <v>Press Feed</v>
      </c>
    </row>
    <row r="36" spans="1:5" x14ac:dyDescent="0.25">
      <c r="A36" t="s">
        <v>922</v>
      </c>
      <c r="B36" t="e">
        <f t="shared" ca="1" si="49"/>
        <v>#N/A</v>
      </c>
      <c r="D36" t="s">
        <v>923</v>
      </c>
      <c r="E36">
        <f t="shared" ca="1" si="48"/>
        <v>180</v>
      </c>
    </row>
    <row r="37" spans="1:5" x14ac:dyDescent="0.25">
      <c r="A37" t="s">
        <v>928</v>
      </c>
      <c r="B37" t="e">
        <f t="shared" ca="1" si="49"/>
        <v>#N/A</v>
      </c>
      <c r="D37" t="s">
        <v>924</v>
      </c>
      <c r="E37">
        <f t="shared" ca="1" si="48"/>
        <v>240</v>
      </c>
    </row>
    <row r="38" spans="1:5" x14ac:dyDescent="0.25">
      <c r="A38" t="s">
        <v>939</v>
      </c>
      <c r="B38" t="e">
        <f t="shared" ca="1" si="49"/>
        <v>#N/A</v>
      </c>
      <c r="D38" t="s">
        <v>925</v>
      </c>
      <c r="E38" t="e">
        <f t="shared" ca="1" si="48"/>
        <v>#N/A</v>
      </c>
    </row>
    <row r="39" spans="1:5" x14ac:dyDescent="0.25">
      <c r="A39" t="s">
        <v>947</v>
      </c>
      <c r="B39" t="e">
        <f t="shared" ca="1" si="49"/>
        <v>#N/A</v>
      </c>
      <c r="D39" t="s">
        <v>926</v>
      </c>
      <c r="E39">
        <f t="shared" ca="1" si="48"/>
        <v>4</v>
      </c>
    </row>
    <row r="40" spans="1:5" x14ac:dyDescent="0.25">
      <c r="A40" t="s">
        <v>948</v>
      </c>
      <c r="B40" t="e">
        <f t="shared" ca="1" si="49"/>
        <v>#N/A</v>
      </c>
      <c r="D40" t="s">
        <v>927</v>
      </c>
      <c r="E40" t="e">
        <f t="shared" ca="1" si="48"/>
        <v>#N/A</v>
      </c>
    </row>
    <row r="41" spans="1:5" x14ac:dyDescent="0.25">
      <c r="D41" t="s">
        <v>466</v>
      </c>
      <c r="E41" t="e">
        <f t="shared" ca="1" si="48"/>
        <v>#N/A</v>
      </c>
    </row>
    <row r="42" spans="1:5" x14ac:dyDescent="0.25">
      <c r="D42" t="s">
        <v>906</v>
      </c>
      <c r="E42" t="str">
        <f t="shared" ca="1" si="48"/>
        <v>HS Steel</v>
      </c>
    </row>
    <row r="43" spans="1:5" x14ac:dyDescent="0.25">
      <c r="D43" t="s">
        <v>929</v>
      </c>
      <c r="E43">
        <f t="shared" ca="1" si="48"/>
        <v>4</v>
      </c>
    </row>
    <row r="44" spans="1:5" x14ac:dyDescent="0.25">
      <c r="D44" t="s">
        <v>930</v>
      </c>
      <c r="E44" t="e">
        <f t="shared" ca="1" si="48"/>
        <v>#N/A</v>
      </c>
    </row>
    <row r="45" spans="1:5" x14ac:dyDescent="0.25">
      <c r="D45" t="s">
        <v>931</v>
      </c>
      <c r="E45">
        <f t="shared" ca="1" si="48"/>
        <v>0</v>
      </c>
    </row>
    <row r="46" spans="1:5" x14ac:dyDescent="0.25">
      <c r="D46" t="s">
        <v>934</v>
      </c>
      <c r="E46" t="e">
        <f t="shared" ca="1" si="48"/>
        <v>#N/A</v>
      </c>
    </row>
    <row r="47" spans="1:5" x14ac:dyDescent="0.25">
      <c r="D47" t="s">
        <v>935</v>
      </c>
      <c r="E47" t="e">
        <f t="shared" ca="1" si="48"/>
        <v>#N/A</v>
      </c>
    </row>
    <row r="48" spans="1:5" x14ac:dyDescent="0.25">
      <c r="A48" s="570" t="s">
        <v>999</v>
      </c>
      <c r="B48" s="570"/>
      <c r="D48" t="s">
        <v>936</v>
      </c>
      <c r="E48" t="e">
        <f t="shared" ca="1" si="48"/>
        <v>#N/A</v>
      </c>
    </row>
    <row r="49" spans="1:5" x14ac:dyDescent="0.25">
      <c r="A49" s="570" t="s">
        <v>1051</v>
      </c>
      <c r="B49" s="570"/>
      <c r="D49" t="s">
        <v>937</v>
      </c>
      <c r="E49" t="e">
        <f t="shared" ca="1" si="48"/>
        <v>#N/A</v>
      </c>
    </row>
    <row r="50" spans="1:5" x14ac:dyDescent="0.25">
      <c r="A50" s="570" t="s">
        <v>908</v>
      </c>
      <c r="B50" s="570" t="e">
        <f t="shared" ref="B50:B59" ca="1" si="50">INDIRECT("'" &amp; $A$49 &amp; "'!" &amp; $A50)</f>
        <v>#N/A</v>
      </c>
      <c r="D50" t="s">
        <v>103</v>
      </c>
      <c r="E50" t="e">
        <f t="shared" ca="1" si="48"/>
        <v>#N/A</v>
      </c>
    </row>
    <row r="51" spans="1:5" x14ac:dyDescent="0.25">
      <c r="A51" s="570" t="s">
        <v>909</v>
      </c>
      <c r="B51" s="570" t="e">
        <f t="shared" ca="1" si="50"/>
        <v>#N/A</v>
      </c>
      <c r="D51" t="s">
        <v>938</v>
      </c>
      <c r="E51" t="e">
        <f t="shared" ca="1" si="48"/>
        <v>#N/A</v>
      </c>
    </row>
    <row r="52" spans="1:5" x14ac:dyDescent="0.25">
      <c r="A52" s="570" t="s">
        <v>912</v>
      </c>
      <c r="B52" s="570" t="e">
        <f t="shared" ca="1" si="50"/>
        <v>#N/A</v>
      </c>
      <c r="D52" t="s">
        <v>940</v>
      </c>
      <c r="E52" t="e">
        <f t="shared" ca="1" si="48"/>
        <v>#N/A</v>
      </c>
    </row>
    <row r="53" spans="1:5" x14ac:dyDescent="0.25">
      <c r="A53" s="570" t="s">
        <v>913</v>
      </c>
      <c r="B53" s="570" t="e">
        <f t="shared" ca="1" si="50"/>
        <v>#N/A</v>
      </c>
      <c r="D53" t="s">
        <v>941</v>
      </c>
      <c r="E53" t="e">
        <f t="shared" ca="1" si="48"/>
        <v>#N/A</v>
      </c>
    </row>
    <row r="54" spans="1:5" x14ac:dyDescent="0.25">
      <c r="A54" s="570" t="s">
        <v>915</v>
      </c>
      <c r="B54" s="570" t="e">
        <f t="shared" ca="1" si="50"/>
        <v>#N/A</v>
      </c>
      <c r="D54" t="s">
        <v>942</v>
      </c>
      <c r="E54" t="str">
        <f t="shared" ca="1" si="48"/>
        <v>Y</v>
      </c>
    </row>
    <row r="55" spans="1:5" x14ac:dyDescent="0.25">
      <c r="A55" s="570" t="s">
        <v>916</v>
      </c>
      <c r="B55" s="570" t="e">
        <f t="shared" ca="1" si="50"/>
        <v>#N/A</v>
      </c>
      <c r="D55" t="s">
        <v>517</v>
      </c>
      <c r="E55" t="e">
        <f t="shared" ca="1" si="48"/>
        <v>#N/A</v>
      </c>
    </row>
    <row r="56" spans="1:5" x14ac:dyDescent="0.25">
      <c r="A56" s="570" t="s">
        <v>918</v>
      </c>
      <c r="B56" s="570" t="e">
        <f t="shared" ca="1" si="50"/>
        <v>#N/A</v>
      </c>
      <c r="D56" t="s">
        <v>943</v>
      </c>
      <c r="E56" t="e">
        <f t="shared" ca="1" si="48"/>
        <v>#N/A</v>
      </c>
    </row>
    <row r="57" spans="1:5" x14ac:dyDescent="0.25">
      <c r="A57" s="570" t="s">
        <v>919</v>
      </c>
      <c r="B57" s="570" t="e">
        <f t="shared" ca="1" si="50"/>
        <v>#N/A</v>
      </c>
      <c r="D57" t="s">
        <v>944</v>
      </c>
      <c r="E57" t="e">
        <f t="shared" ca="1" si="48"/>
        <v>#N/A</v>
      </c>
    </row>
    <row r="58" spans="1:5" x14ac:dyDescent="0.25">
      <c r="A58" s="570" t="s">
        <v>932</v>
      </c>
      <c r="B58" s="570" t="e">
        <f t="shared" ca="1" si="50"/>
        <v>#N/A</v>
      </c>
      <c r="D58" t="s">
        <v>945</v>
      </c>
      <c r="E58">
        <f t="shared" ca="1" si="48"/>
        <v>120</v>
      </c>
    </row>
    <row r="59" spans="1:5" x14ac:dyDescent="0.25">
      <c r="A59" s="570" t="s">
        <v>933</v>
      </c>
      <c r="B59" s="570" t="e">
        <f t="shared" ca="1" si="50"/>
        <v>#N/A</v>
      </c>
      <c r="D59" t="s">
        <v>946</v>
      </c>
      <c r="E59">
        <f t="shared" ca="1" si="48"/>
        <v>1440</v>
      </c>
    </row>
    <row r="60" spans="1:5" x14ac:dyDescent="0.25">
      <c r="D60" t="s">
        <v>949</v>
      </c>
      <c r="E60" t="e">
        <f t="shared" ca="1" si="48"/>
        <v>#N/A</v>
      </c>
    </row>
    <row r="61" spans="1:5" x14ac:dyDescent="0.25">
      <c r="D61" t="s">
        <v>907</v>
      </c>
      <c r="E61">
        <f t="shared" ca="1" si="48"/>
        <v>0</v>
      </c>
    </row>
    <row r="62" spans="1:5" x14ac:dyDescent="0.25">
      <c r="D62" t="s">
        <v>980</v>
      </c>
      <c r="E62">
        <f t="shared" ca="1" si="48"/>
        <v>16</v>
      </c>
    </row>
    <row r="63" spans="1:5" x14ac:dyDescent="0.25">
      <c r="D63" t="s">
        <v>982</v>
      </c>
      <c r="E63">
        <f t="shared" ca="1" si="48"/>
        <v>0.3</v>
      </c>
    </row>
    <row r="64" spans="1:5" x14ac:dyDescent="0.25">
      <c r="D64" t="s">
        <v>984</v>
      </c>
      <c r="E64">
        <f t="shared" ca="1" si="48"/>
        <v>48</v>
      </c>
    </row>
    <row r="65" spans="4:5" x14ac:dyDescent="0.25">
      <c r="D65" t="s">
        <v>983</v>
      </c>
      <c r="E65">
        <f t="shared" ca="1" si="48"/>
        <v>0.28299999999999997</v>
      </c>
    </row>
    <row r="66" spans="4:5" x14ac:dyDescent="0.25">
      <c r="D66" t="s">
        <v>981</v>
      </c>
      <c r="E66">
        <f t="shared" ca="1" si="48"/>
        <v>678.58401317539528</v>
      </c>
    </row>
  </sheetData>
  <sheetProtection selectLockedCells="1"/>
  <pageMargins left="0.7" right="0.7" top="0.75" bottom="0.75" header="0.3" footer="0.3"/>
  <pageSetup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3B502-001C-4CB6-96A0-558BCA3E4656}">
  <sheetPr codeName="Sheet10">
    <tabColor theme="1"/>
  </sheetPr>
  <dimension ref="A4:S67"/>
  <sheetViews>
    <sheetView workbookViewId="0">
      <selection activeCell="B2" sqref="B2:C2"/>
    </sheetView>
  </sheetViews>
  <sheetFormatPr defaultColWidth="11.140625" defaultRowHeight="12.75" x14ac:dyDescent="0.2"/>
  <cols>
    <col min="1" max="1" width="23.5703125" style="397" customWidth="1"/>
    <col min="2" max="2" width="13.5703125" style="398" bestFit="1" customWidth="1"/>
    <col min="3" max="3" width="11.140625" style="398"/>
    <col min="4" max="4" width="11.85546875" style="398" customWidth="1"/>
    <col min="5" max="9" width="11.140625" style="398"/>
    <col min="10" max="10" width="11.140625" style="397"/>
    <col min="11" max="16384" width="11.140625" style="398"/>
  </cols>
  <sheetData>
    <row r="4" spans="1:19" s="396" customFormat="1" x14ac:dyDescent="0.2">
      <c r="A4" s="394">
        <v>0.71550000000000002</v>
      </c>
      <c r="B4" s="395" t="str">
        <f>IF($K$55&gt;0,"S-Shear","CPRF-Z")</f>
        <v>CPRF-Z</v>
      </c>
      <c r="D4" s="395" t="s">
        <v>687</v>
      </c>
      <c r="E4" s="395" t="s">
        <v>688</v>
      </c>
      <c r="F4" s="1056" t="s">
        <v>689</v>
      </c>
      <c r="G4" s="1056"/>
      <c r="H4" s="1056"/>
      <c r="J4" s="394"/>
      <c r="K4" s="395" t="s">
        <v>570</v>
      </c>
      <c r="L4" s="395" t="s">
        <v>571</v>
      </c>
      <c r="M4" s="395" t="s">
        <v>572</v>
      </c>
      <c r="N4" s="395" t="s">
        <v>573</v>
      </c>
      <c r="O4" s="395" t="s">
        <v>574</v>
      </c>
      <c r="P4" s="395" t="s">
        <v>575</v>
      </c>
      <c r="Q4" s="395" t="s">
        <v>576</v>
      </c>
      <c r="R4" s="395" t="s">
        <v>103</v>
      </c>
      <c r="S4" s="395" t="s">
        <v>577</v>
      </c>
    </row>
    <row r="5" spans="1:19" x14ac:dyDescent="0.2">
      <c r="D5" s="398" t="s">
        <v>441</v>
      </c>
      <c r="E5" s="398" t="s">
        <v>688</v>
      </c>
      <c r="F5" s="398" t="s">
        <v>690</v>
      </c>
      <c r="J5" s="397" t="s">
        <v>691</v>
      </c>
      <c r="K5" s="399">
        <v>2.25</v>
      </c>
      <c r="L5" s="399">
        <v>0</v>
      </c>
      <c r="M5" s="399">
        <v>27</v>
      </c>
      <c r="N5" s="399">
        <v>0.28299999999999997</v>
      </c>
      <c r="O5" s="399">
        <v>1</v>
      </c>
      <c r="P5" s="400">
        <f>IF(L5=0,((K5^2)/4)*PI()*M5*N5*O5,(((K5^2)-(C5^2))/4)*PI()*D5*E5*F5)</f>
        <v>30.381213543007</v>
      </c>
      <c r="Q5" s="400">
        <f>IF(L5=0,((P5/32.3)*0.5*(((K5*0.5)^2)/144))*12,((G5/32.3)*0.5*((((B5*0.5)^2)+((C5*0.5)^2))/144))*12)</f>
        <v>4.960168136012414E-2</v>
      </c>
      <c r="R5" s="400">
        <f>$B$6</f>
        <v>1.7168784029038116</v>
      </c>
      <c r="S5" s="400">
        <f>Q5/(R5^2)</f>
        <v>1.6827411804700154E-2</v>
      </c>
    </row>
    <row r="6" spans="1:19" x14ac:dyDescent="0.2">
      <c r="A6" s="397" t="s">
        <v>103</v>
      </c>
      <c r="B6" s="398">
        <f>R42*K14/K23</f>
        <v>1.7168784029038116</v>
      </c>
      <c r="K6" s="400"/>
      <c r="L6" s="400"/>
      <c r="M6" s="400"/>
      <c r="N6" s="400"/>
      <c r="O6" s="400"/>
      <c r="P6" s="400"/>
      <c r="Q6" s="400"/>
      <c r="R6" s="400"/>
      <c r="S6" s="400"/>
    </row>
    <row r="7" spans="1:19" x14ac:dyDescent="0.2">
      <c r="A7" s="397" t="s">
        <v>692</v>
      </c>
      <c r="B7" s="398">
        <v>2000</v>
      </c>
      <c r="C7" s="401" t="s">
        <v>517</v>
      </c>
      <c r="D7" s="402" t="s">
        <v>693</v>
      </c>
      <c r="E7" s="403">
        <f>B7/B6</f>
        <v>1164.9048625792809</v>
      </c>
      <c r="K7" s="400"/>
      <c r="L7" s="400"/>
      <c r="M7" s="400"/>
      <c r="N7" s="400"/>
      <c r="O7" s="400"/>
      <c r="P7" s="400"/>
      <c r="Q7" s="400"/>
      <c r="R7" s="400"/>
      <c r="S7" s="400"/>
    </row>
    <row r="8" spans="1:19" x14ac:dyDescent="0.2">
      <c r="A8" s="397" t="s">
        <v>694</v>
      </c>
      <c r="B8" s="398">
        <v>6.1999999999999998E-3</v>
      </c>
      <c r="C8" s="401" t="s">
        <v>695</v>
      </c>
      <c r="D8" s="402" t="s">
        <v>696</v>
      </c>
      <c r="E8" s="400">
        <f>$K$48</f>
        <v>0.10799951960698428</v>
      </c>
      <c r="F8" s="398" t="str">
        <f>IF($H$8&gt;2,"EXCESS","  OK")</f>
        <v>EXCESS</v>
      </c>
      <c r="G8" s="402" t="s">
        <v>466</v>
      </c>
      <c r="H8" s="404">
        <f>$E$8/$B$8</f>
        <v>17.419277355965207</v>
      </c>
      <c r="K8" s="405"/>
      <c r="L8" s="405"/>
      <c r="M8" s="405"/>
      <c r="N8" s="405"/>
      <c r="O8" s="405"/>
      <c r="P8" s="400"/>
      <c r="Q8" s="400"/>
      <c r="R8" s="400"/>
      <c r="S8" s="400"/>
    </row>
    <row r="9" spans="1:19" x14ac:dyDescent="0.2">
      <c r="A9" s="397" t="s">
        <v>697</v>
      </c>
      <c r="B9" s="398">
        <v>240</v>
      </c>
      <c r="C9" s="401" t="s">
        <v>698</v>
      </c>
      <c r="D9" s="402" t="s">
        <v>699</v>
      </c>
      <c r="E9" s="400">
        <f>$E$11+$B$14+$B$15</f>
        <v>151.20272506451454</v>
      </c>
      <c r="F9" s="398" t="str">
        <f>IF($B$9&gt;$E$9,"  OK","EXCESS")</f>
        <v xml:space="preserve">  OK</v>
      </c>
      <c r="K9" s="400"/>
      <c r="L9" s="400"/>
      <c r="M9" s="400"/>
      <c r="N9" s="400"/>
      <c r="O9" s="400"/>
      <c r="P9" s="400"/>
      <c r="Q9" s="400"/>
      <c r="R9" s="400"/>
      <c r="S9" s="400"/>
    </row>
    <row r="10" spans="1:19" x14ac:dyDescent="0.2">
      <c r="A10" s="397" t="s">
        <v>700</v>
      </c>
      <c r="B10" s="398">
        <v>87</v>
      </c>
      <c r="C10" s="401" t="s">
        <v>698</v>
      </c>
      <c r="D10" s="402" t="s">
        <v>432</v>
      </c>
      <c r="E10" s="400">
        <f>SQRT((($E$9^2*$B$27)+($E$11^2*$B$27)+($B$16^2*$B$17)+($B$15^2*$B$26))/$B$29)</f>
        <v>97.702564795047664</v>
      </c>
      <c r="F10" s="398" t="str">
        <f>IF($B$10&gt;$E$10,"  OK","EXCESS")</f>
        <v>EXCESS</v>
      </c>
      <c r="K10" s="400"/>
      <c r="L10" s="400"/>
      <c r="M10" s="400"/>
      <c r="N10" s="400"/>
      <c r="O10" s="400"/>
      <c r="P10" s="400"/>
      <c r="Q10" s="400"/>
      <c r="R10" s="400"/>
      <c r="S10" s="400"/>
    </row>
    <row r="11" spans="1:19" x14ac:dyDescent="0.2">
      <c r="A11" s="397" t="s">
        <v>701</v>
      </c>
      <c r="B11" s="406">
        <v>7</v>
      </c>
      <c r="C11" s="401" t="s">
        <v>702</v>
      </c>
      <c r="D11" s="402" t="s">
        <v>703</v>
      </c>
      <c r="E11" s="400">
        <f>L35</f>
        <v>136.20272506451454</v>
      </c>
      <c r="K11" s="400"/>
      <c r="L11" s="400"/>
      <c r="M11" s="400"/>
      <c r="N11" s="400"/>
      <c r="O11" s="400"/>
      <c r="P11" s="400"/>
      <c r="Q11" s="400"/>
      <c r="R11" s="400"/>
      <c r="S11" s="400"/>
    </row>
    <row r="12" spans="1:19" x14ac:dyDescent="0.2">
      <c r="A12" s="397" t="s">
        <v>704</v>
      </c>
      <c r="B12" s="407">
        <f>$B$7/B6*B18/12/60</f>
        <v>1.6179234202490014</v>
      </c>
      <c r="C12" s="401">
        <f>TRUNC(B12*60+0.5)</f>
        <v>97</v>
      </c>
      <c r="K12" s="400"/>
      <c r="L12" s="400"/>
      <c r="M12" s="400"/>
      <c r="N12" s="400"/>
      <c r="O12" s="400"/>
      <c r="P12" s="400"/>
      <c r="Q12" s="400"/>
      <c r="R12" s="400"/>
      <c r="S12" s="400"/>
    </row>
    <row r="13" spans="1:19" x14ac:dyDescent="0.2">
      <c r="A13" s="397" t="str">
        <f>IF(B13&gt;20,"Feed Angle", "Idle Seconds")</f>
        <v>Feed Angle</v>
      </c>
      <c r="B13" s="408">
        <v>180</v>
      </c>
      <c r="C13" s="401" t="str">
        <f>IF($B$13&gt;20,"Degrees", "Seconds")</f>
        <v>Degrees</v>
      </c>
      <c r="J13" s="397" t="s">
        <v>705</v>
      </c>
      <c r="K13" s="400"/>
      <c r="L13" s="400"/>
      <c r="M13" s="400"/>
      <c r="N13" s="400"/>
      <c r="O13" s="400"/>
      <c r="P13" s="400"/>
      <c r="Q13" s="400"/>
      <c r="R13" s="400"/>
      <c r="S13" s="400"/>
    </row>
    <row r="14" spans="1:19" x14ac:dyDescent="0.2">
      <c r="A14" s="397" t="s">
        <v>706</v>
      </c>
      <c r="B14" s="408">
        <v>15</v>
      </c>
      <c r="C14" s="401" t="s">
        <v>698</v>
      </c>
      <c r="J14" s="397" t="s">
        <v>707</v>
      </c>
      <c r="K14" s="400">
        <v>4.7300000000000004</v>
      </c>
      <c r="L14" s="400">
        <v>2.19</v>
      </c>
      <c r="M14" s="400">
        <v>3</v>
      </c>
      <c r="N14" s="400">
        <v>0.28299999999999997</v>
      </c>
      <c r="O14" s="400">
        <v>1</v>
      </c>
      <c r="P14" s="400">
        <f>IF(L14=0,((K14^2)/4)*PI()*M14*N14*O14,(((K14^2)-(L14^2))/4)*PI()*M14*N14*O14)</f>
        <v>11.720263686205227</v>
      </c>
      <c r="Q14" s="400">
        <f>IF(L14=0,((P14/32.3)*0.5*(((K14*0.5)^2)/144))*12,((P14/32.3)*0.5*((((K14*0.5)^2)+((L14*0.5)^2))/144))*12)</f>
        <v>0.10269215818192398</v>
      </c>
      <c r="R14" s="400">
        <f>$B$6</f>
        <v>1.7168784029038116</v>
      </c>
      <c r="S14" s="400">
        <f>Q14/(R14^2)</f>
        <v>3.4838400381924442E-2</v>
      </c>
    </row>
    <row r="15" spans="1:19" x14ac:dyDescent="0.2">
      <c r="A15" s="397" t="s">
        <v>474</v>
      </c>
      <c r="B15" s="398">
        <f>(($P$45*($K$5*0.5))/$B$6)/$N$42</f>
        <v>0</v>
      </c>
      <c r="C15" s="401" t="s">
        <v>698</v>
      </c>
      <c r="J15" s="397" t="s">
        <v>597</v>
      </c>
      <c r="K15" s="400">
        <v>3.1880000000000002</v>
      </c>
      <c r="L15" s="400">
        <v>1.3753</v>
      </c>
      <c r="M15" s="400">
        <v>0.438</v>
      </c>
      <c r="N15" s="400">
        <v>0.28299999999999997</v>
      </c>
      <c r="O15" s="400">
        <v>1</v>
      </c>
      <c r="P15" s="400">
        <f>IF(L15=0,((K15^2)/4)*PI()*M15*N15*O15,(((K15^2)-(L15^2))/4)*PI()*M15*N15*O15)</f>
        <v>0.80529570571373699</v>
      </c>
      <c r="Q15" s="400">
        <f>IF(L15=0,((P15/32.3)*0.5*(((K15*0.5)^2)/144))*12,((P15/32.3)*0.5*((((K15*0.5)^2)+((L15*0.5)^2))/144))*12)</f>
        <v>3.1306997916474254E-3</v>
      </c>
      <c r="R15" s="400">
        <f>R14</f>
        <v>1.7168784029038116</v>
      </c>
      <c r="S15" s="400">
        <f>Q15/(R15^2)</f>
        <v>1.0620925175591337E-3</v>
      </c>
    </row>
    <row r="16" spans="1:19" x14ac:dyDescent="0.2">
      <c r="A16" s="397" t="s">
        <v>477</v>
      </c>
      <c r="B16" s="398">
        <v>50</v>
      </c>
      <c r="C16" s="401" t="s">
        <v>698</v>
      </c>
      <c r="D16" s="402" t="s">
        <v>708</v>
      </c>
      <c r="E16" s="409">
        <v>1</v>
      </c>
      <c r="K16" s="400">
        <v>2.19</v>
      </c>
      <c r="L16" s="400">
        <v>1.375</v>
      </c>
      <c r="M16" s="400">
        <v>0.88</v>
      </c>
      <c r="N16" s="400">
        <v>0.28299999999999997</v>
      </c>
      <c r="O16" s="400">
        <v>1</v>
      </c>
      <c r="P16" s="400">
        <f>IF(L16=0,((K16^2)/4)*PI()*M16*N16*O16,(((K16^2)-(L16^2))/4)*PI()*M16*N16*O16)</f>
        <v>0.56829800565965494</v>
      </c>
      <c r="Q16" s="400">
        <f>IF(L16=0,((P16/32.3)*0.5*(((K16*0.5)^2)/144))*12,((P16/32.3)*0.5*((((K16*0.5)^2)+((L16*0.5)^2))/144))*12)</f>
        <v>1.2255071213540239E-3</v>
      </c>
      <c r="R16" s="400">
        <f>R15</f>
        <v>1.7168784029038116</v>
      </c>
      <c r="S16" s="400">
        <f>Q16/(R16^2)</f>
        <v>4.1575431386879093E-4</v>
      </c>
    </row>
    <row r="17" spans="1:19" x14ac:dyDescent="0.2">
      <c r="A17" s="397" t="s">
        <v>709</v>
      </c>
      <c r="B17" s="398">
        <v>4.4999999999999998E-2</v>
      </c>
      <c r="C17" s="401" t="s">
        <v>710</v>
      </c>
      <c r="D17" s="402" t="s">
        <v>711</v>
      </c>
      <c r="E17" s="409">
        <v>1</v>
      </c>
      <c r="K17" s="400"/>
      <c r="L17" s="400"/>
      <c r="M17" s="400"/>
      <c r="N17" s="400"/>
      <c r="O17" s="400"/>
      <c r="P17" s="400"/>
      <c r="Q17" s="400"/>
      <c r="R17" s="400"/>
      <c r="S17" s="400"/>
    </row>
    <row r="18" spans="1:19" x14ac:dyDescent="0.2">
      <c r="A18" s="397" t="s">
        <v>712</v>
      </c>
      <c r="B18" s="398">
        <v>1</v>
      </c>
      <c r="C18" s="401" t="s">
        <v>713</v>
      </c>
      <c r="D18" s="398">
        <v>0</v>
      </c>
      <c r="E18" s="398" t="str">
        <f>IF(D18=0,"Ballscrew (1=Trantek)","Trantek (0=Ballscrew)")</f>
        <v>Ballscrew (1=Trantek)</v>
      </c>
      <c r="K18" s="400"/>
      <c r="L18" s="400"/>
      <c r="M18" s="400"/>
      <c r="N18" s="400"/>
      <c r="O18" s="400"/>
      <c r="P18" s="400"/>
      <c r="Q18" s="400"/>
      <c r="R18" s="400"/>
      <c r="S18" s="400"/>
    </row>
    <row r="19" spans="1:19" x14ac:dyDescent="0.2">
      <c r="A19" s="397" t="str">
        <f>IF($K$55&gt;0,"Effective Weight to Accel","Weight to Accel")</f>
        <v>Weight to Accel</v>
      </c>
      <c r="B19" s="410">
        <v>1000</v>
      </c>
      <c r="C19" s="401" t="s">
        <v>226</v>
      </c>
      <c r="D19" s="400">
        <f>IF(D18=0,B18*0.177,(0.3*B18))</f>
        <v>0.17699999999999999</v>
      </c>
      <c r="E19" s="401" t="s">
        <v>714</v>
      </c>
      <c r="K19" s="400"/>
      <c r="L19" s="400"/>
      <c r="M19" s="400"/>
      <c r="N19" s="400"/>
      <c r="O19" s="400"/>
      <c r="P19" s="400"/>
      <c r="Q19" s="400"/>
      <c r="R19" s="400"/>
      <c r="S19" s="400"/>
    </row>
    <row r="20" spans="1:19" x14ac:dyDescent="0.2">
      <c r="A20" s="397" t="s">
        <v>715</v>
      </c>
      <c r="B20" s="398">
        <v>0.1</v>
      </c>
      <c r="C20" s="401"/>
      <c r="K20" s="400"/>
      <c r="L20" s="400"/>
      <c r="M20" s="400"/>
      <c r="N20" s="400"/>
      <c r="O20" s="400"/>
      <c r="P20" s="400"/>
      <c r="Q20" s="400"/>
      <c r="R20" s="400"/>
      <c r="S20" s="400"/>
    </row>
    <row r="21" spans="1:19" x14ac:dyDescent="0.2">
      <c r="A21" s="397" t="s">
        <v>716</v>
      </c>
      <c r="B21" s="410">
        <f>IF($K$55=0,B19*B20,$B$20*$P$54)</f>
        <v>100</v>
      </c>
      <c r="C21" s="401" t="s">
        <v>226</v>
      </c>
      <c r="K21" s="400"/>
      <c r="L21" s="400"/>
      <c r="M21" s="400"/>
      <c r="N21" s="400"/>
      <c r="O21" s="400"/>
      <c r="P21" s="400"/>
      <c r="Q21" s="400"/>
      <c r="R21" s="400"/>
      <c r="S21" s="400"/>
    </row>
    <row r="22" spans="1:19" x14ac:dyDescent="0.2">
      <c r="A22" s="397" t="s">
        <v>717</v>
      </c>
      <c r="B22" s="410">
        <f>IF($K$55=0,$B$19/32.2*$B$11+$B$21,B19+B21)</f>
        <v>317.39130434782606</v>
      </c>
      <c r="C22" s="401" t="s">
        <v>226</v>
      </c>
      <c r="J22" s="397" t="s">
        <v>718</v>
      </c>
      <c r="K22" s="400"/>
      <c r="L22" s="400"/>
      <c r="M22" s="400"/>
      <c r="N22" s="400"/>
      <c r="O22" s="400"/>
      <c r="P22" s="400"/>
      <c r="Q22" s="400"/>
      <c r="R22" s="400"/>
      <c r="S22" s="400"/>
    </row>
    <row r="23" spans="1:19" x14ac:dyDescent="0.2">
      <c r="A23" s="397" t="s">
        <v>123</v>
      </c>
      <c r="B23" s="400">
        <f>(($B$12/$B$11)*$B$12)*12</f>
        <v>4.4874449036403892</v>
      </c>
      <c r="C23" s="400">
        <f>$E$16</f>
        <v>1</v>
      </c>
      <c r="D23" s="400">
        <f t="shared" ref="D23:I23" si="0">C23+$E$17</f>
        <v>2</v>
      </c>
      <c r="E23" s="400">
        <f t="shared" si="0"/>
        <v>3</v>
      </c>
      <c r="F23" s="400">
        <f t="shared" si="0"/>
        <v>4</v>
      </c>
      <c r="G23" s="400">
        <f t="shared" si="0"/>
        <v>5</v>
      </c>
      <c r="H23" s="400">
        <f t="shared" si="0"/>
        <v>6</v>
      </c>
      <c r="I23" s="400">
        <f t="shared" si="0"/>
        <v>7</v>
      </c>
      <c r="J23" s="397" t="s">
        <v>719</v>
      </c>
      <c r="K23" s="400">
        <v>2.7549999999999999</v>
      </c>
      <c r="L23" s="400">
        <v>1.625</v>
      </c>
      <c r="M23" s="400">
        <v>3</v>
      </c>
      <c r="N23" s="400">
        <v>0.28299999999999997</v>
      </c>
      <c r="O23" s="400">
        <v>1</v>
      </c>
      <c r="P23" s="400">
        <f>IF(L23=0,((K23^2)/4)*PI()*M23*N23*O23,(((K23^2)-(L23^2))/4)*PI()*M23*N23*O23)</f>
        <v>3.300274969761511</v>
      </c>
      <c r="Q23" s="400">
        <f>IF(L23=0,((P23/32.3)*0.5*(((K23*0.5)^2)/144))*12,((P23/32.3)*0.5*((((K23*0.5)^2)+((L23*0.5)^2))/144))*12)</f>
        <v>1.0888789383188408E-2</v>
      </c>
      <c r="R23" s="400">
        <f>IF($R$42=0,1,$R$42)</f>
        <v>1</v>
      </c>
      <c r="S23" s="400">
        <f>Q23/(R23^2)</f>
        <v>1.0888789383188408E-2</v>
      </c>
    </row>
    <row r="24" spans="1:19" x14ac:dyDescent="0.2">
      <c r="A24" s="397" t="s">
        <v>432</v>
      </c>
      <c r="B24" s="400">
        <f>SQRT(((($E$9^2)*B27)+(($E$11^2)*B27)+((((L34)+$B$14+$B$15)^2)*B25)+(($B$16^2)*$B$17)+(($B$15^2)*B26))/B29)</f>
        <v>97.702564795047664</v>
      </c>
      <c r="C24" s="400">
        <f t="shared" ref="C24:I24" si="1">SQRT(((($E$9^2)*C27)+(($E$11^2)*C27)+((((M34)+$B$14+$B$15)^2)*C25)+(($B$16^2)*$B$17)+(($B$15^2)*C26))/C29)</f>
        <v>93.792545423408384</v>
      </c>
      <c r="D24" s="400" t="e">
        <f t="shared" si="1"/>
        <v>#VALUE!</v>
      </c>
      <c r="E24" s="400">
        <f t="shared" si="1"/>
        <v>96.875371111586773</v>
      </c>
      <c r="F24" s="400">
        <f t="shared" si="1"/>
        <v>97.480596278403851</v>
      </c>
      <c r="G24" s="400">
        <f t="shared" si="1"/>
        <v>95.284495442924012</v>
      </c>
      <c r="H24" s="400">
        <f t="shared" si="1"/>
        <v>91.04886964228541</v>
      </c>
      <c r="I24" s="400">
        <f t="shared" si="1"/>
        <v>87.340455270802067</v>
      </c>
      <c r="J24" s="397" t="s">
        <v>597</v>
      </c>
      <c r="K24" s="400">
        <v>2.5</v>
      </c>
      <c r="L24" s="400">
        <v>1.3779999999999999</v>
      </c>
      <c r="M24" s="400">
        <v>0.25</v>
      </c>
      <c r="N24" s="400">
        <v>0.28299999999999997</v>
      </c>
      <c r="O24" s="400">
        <v>1</v>
      </c>
      <c r="P24" s="400">
        <f>IF(L24=0,((K24^2)/4)*PI()*M24*N24*O24,(((K24^2)-(L24^2))/4)*PI()*M24*N24*O24)</f>
        <v>0.24177811494539456</v>
      </c>
      <c r="Q24" s="400">
        <f>IF(L24=0,((P24/32.3)*0.5*(((K24*0.5)^2)/144))*12,((P24/32.3)*0.5*((((K24*0.5)^2)+((L24*0.5)^2))/144))*12)</f>
        <v>6.353914513766404E-4</v>
      </c>
      <c r="R24" s="400">
        <f>R23</f>
        <v>1</v>
      </c>
      <c r="S24" s="400">
        <f>Q24/(R24^2)</f>
        <v>6.353914513766404E-4</v>
      </c>
    </row>
    <row r="25" spans="1:19" x14ac:dyDescent="0.2">
      <c r="A25" s="397" t="s">
        <v>631</v>
      </c>
      <c r="B25" s="400">
        <f>IF(((B23-((B9*B27)*12))/12)/B9&gt;0,((B23-((B9*B27)*12))/12)/B9,0)</f>
        <v>0</v>
      </c>
      <c r="C25" s="400">
        <f t="shared" ref="C25:I25" si="2">IF(C23&gt;$B$23,((C23-$B$23)/12)/$B$12,0)</f>
        <v>0</v>
      </c>
      <c r="D25" s="400">
        <f t="shared" si="2"/>
        <v>0</v>
      </c>
      <c r="E25" s="400">
        <f t="shared" si="2"/>
        <v>0</v>
      </c>
      <c r="F25" s="400">
        <f t="shared" si="2"/>
        <v>0</v>
      </c>
      <c r="G25" s="400">
        <f t="shared" si="2"/>
        <v>2.6399843257142935E-2</v>
      </c>
      <c r="H25" s="400">
        <f t="shared" si="2"/>
        <v>7.7906195344257287E-2</v>
      </c>
      <c r="I25" s="400">
        <f t="shared" si="2"/>
        <v>0.12941254743137162</v>
      </c>
      <c r="K25" s="400">
        <v>1.625</v>
      </c>
      <c r="L25" s="400">
        <v>1.3779999999999999</v>
      </c>
      <c r="M25" s="400">
        <v>1</v>
      </c>
      <c r="N25" s="400">
        <v>0.28299999999999997</v>
      </c>
      <c r="O25" s="400">
        <v>1</v>
      </c>
      <c r="P25" s="400">
        <f>IF(L25=0,((K25^2)/4)*PI()*M25*N25*O25,(((K25^2)-(L25^2))/4)*PI()*M25*N25*O25)</f>
        <v>0.16486505140999408</v>
      </c>
      <c r="Q25" s="400">
        <f>IF(L25=0,((P25/32.3)*0.5*(((K25*0.5)^2)/144))*12,((P25/32.3)*0.5*((((K25*0.5)^2)+((L25*0.5)^2))/144))*12)</f>
        <v>2.4135912818018927E-4</v>
      </c>
      <c r="R25" s="400">
        <f>R24</f>
        <v>1</v>
      </c>
      <c r="S25" s="400">
        <f>Q25/(R25^2)</f>
        <v>2.4135912818018927E-4</v>
      </c>
    </row>
    <row r="26" spans="1:19" x14ac:dyDescent="0.2">
      <c r="A26" s="397" t="s">
        <v>632</v>
      </c>
      <c r="B26" s="400">
        <f t="shared" ref="B26:I26" si="3">B29-B28</f>
        <v>0.50726383435685751</v>
      </c>
      <c r="C26" s="400">
        <f t="shared" si="3"/>
        <v>0.26321789023599235</v>
      </c>
      <c r="D26" s="400">
        <f t="shared" si="3"/>
        <v>0.35360669992418381</v>
      </c>
      <c r="E26" s="400">
        <f t="shared" si="3"/>
        <v>0.42296447300922718</v>
      </c>
      <c r="F26" s="400">
        <f t="shared" si="3"/>
        <v>0.48143578047198471</v>
      </c>
      <c r="G26" s="400">
        <f t="shared" si="3"/>
        <v>0.53366367761400046</v>
      </c>
      <c r="H26" s="400">
        <f t="shared" si="3"/>
        <v>0.58517002970111487</v>
      </c>
      <c r="I26" s="400">
        <f t="shared" si="3"/>
        <v>0.63667638178822916</v>
      </c>
      <c r="K26" s="400"/>
      <c r="L26" s="400"/>
      <c r="M26" s="400"/>
      <c r="N26" s="400"/>
      <c r="O26" s="400"/>
      <c r="P26" s="400"/>
      <c r="Q26" s="400"/>
      <c r="R26" s="400"/>
      <c r="S26" s="400"/>
    </row>
    <row r="27" spans="1:19" x14ac:dyDescent="0.2">
      <c r="A27" s="397" t="s">
        <v>85</v>
      </c>
      <c r="B27" s="400">
        <f>$B$12/$B$11</f>
        <v>0.23113191717842876</v>
      </c>
      <c r="C27" s="400">
        <f t="shared" ref="C27:I27" si="4">IF(C23&gt;$B$23,$B$27,SQRT((C23/12)/$B$11))</f>
        <v>0.10910894511799618</v>
      </c>
      <c r="D27" s="400">
        <f t="shared" si="4"/>
        <v>0.15430334996209191</v>
      </c>
      <c r="E27" s="400">
        <f t="shared" si="4"/>
        <v>0.1889822365046136</v>
      </c>
      <c r="F27" s="400">
        <f t="shared" si="4"/>
        <v>0.21821789023599236</v>
      </c>
      <c r="G27" s="400">
        <f t="shared" si="4"/>
        <v>0.23113191717842876</v>
      </c>
      <c r="H27" s="400">
        <f t="shared" si="4"/>
        <v>0.23113191717842876</v>
      </c>
      <c r="I27" s="400">
        <f t="shared" si="4"/>
        <v>0.23113191717842876</v>
      </c>
      <c r="K27" s="400"/>
      <c r="L27" s="400"/>
      <c r="M27" s="400"/>
      <c r="N27" s="400"/>
      <c r="O27" s="400"/>
      <c r="P27" s="400"/>
      <c r="Q27" s="400"/>
      <c r="R27" s="400"/>
      <c r="S27" s="400"/>
    </row>
    <row r="28" spans="1:19" x14ac:dyDescent="0.2">
      <c r="A28" s="397" t="s">
        <v>720</v>
      </c>
      <c r="B28" s="400">
        <f>((B27*2)+B25+B17)</f>
        <v>0.50726383435685751</v>
      </c>
      <c r="C28" s="400">
        <f t="shared" ref="C28:I28" si="5">(C27*2)+C25+$B$17</f>
        <v>0.26321789023599235</v>
      </c>
      <c r="D28" s="400">
        <f t="shared" si="5"/>
        <v>0.35360669992418381</v>
      </c>
      <c r="E28" s="400">
        <f t="shared" si="5"/>
        <v>0.42296447300922718</v>
      </c>
      <c r="F28" s="400">
        <f t="shared" si="5"/>
        <v>0.48143578047198471</v>
      </c>
      <c r="G28" s="400">
        <f t="shared" si="5"/>
        <v>0.53366367761400046</v>
      </c>
      <c r="H28" s="400">
        <f t="shared" si="5"/>
        <v>0.58517002970111487</v>
      </c>
      <c r="I28" s="400">
        <f t="shared" si="5"/>
        <v>0.63667638178822916</v>
      </c>
      <c r="K28" s="400"/>
      <c r="L28" s="400"/>
      <c r="M28" s="400"/>
      <c r="N28" s="400"/>
      <c r="O28" s="400"/>
      <c r="P28" s="400"/>
      <c r="Q28" s="400"/>
      <c r="R28" s="400"/>
      <c r="S28" s="400"/>
    </row>
    <row r="29" spans="1:19" x14ac:dyDescent="0.2">
      <c r="A29" s="397" t="s">
        <v>634</v>
      </c>
      <c r="B29" s="400">
        <f t="shared" ref="B29:I29" si="6">IF($B$13&gt;20,B28*(360/$B$13),B28+$B$13)</f>
        <v>1.014527668713715</v>
      </c>
      <c r="C29" s="400">
        <f t="shared" si="6"/>
        <v>0.52643578047198469</v>
      </c>
      <c r="D29" s="400">
        <f t="shared" si="6"/>
        <v>0.70721339984836762</v>
      </c>
      <c r="E29" s="400">
        <f t="shared" si="6"/>
        <v>0.84592894601845436</v>
      </c>
      <c r="F29" s="400">
        <f t="shared" si="6"/>
        <v>0.96287156094396942</v>
      </c>
      <c r="G29" s="400">
        <f t="shared" si="6"/>
        <v>1.0673273552280009</v>
      </c>
      <c r="H29" s="400">
        <f t="shared" si="6"/>
        <v>1.1703400594022297</v>
      </c>
      <c r="I29" s="400">
        <f t="shared" si="6"/>
        <v>1.2733527635764583</v>
      </c>
      <c r="K29" s="400"/>
      <c r="L29" s="400"/>
      <c r="M29" s="400"/>
      <c r="N29" s="400"/>
      <c r="O29" s="400"/>
      <c r="P29" s="400"/>
      <c r="Q29" s="400"/>
      <c r="R29" s="400"/>
      <c r="S29" s="400"/>
    </row>
    <row r="30" spans="1:19" x14ac:dyDescent="0.2">
      <c r="A30" s="397" t="s">
        <v>721</v>
      </c>
      <c r="B30" s="410">
        <f>60/B29</f>
        <v>59.140821734385966</v>
      </c>
      <c r="C30" s="410">
        <f>ROUNDDOWN(60/C29,0)</f>
        <v>113</v>
      </c>
      <c r="D30" s="410">
        <f t="shared" ref="D30:I30" si="7">ROUNDDOWN(60/D29,0)</f>
        <v>84</v>
      </c>
      <c r="E30" s="410">
        <f t="shared" si="7"/>
        <v>70</v>
      </c>
      <c r="F30" s="410">
        <f t="shared" si="7"/>
        <v>62</v>
      </c>
      <c r="G30" s="410">
        <f t="shared" si="7"/>
        <v>56</v>
      </c>
      <c r="H30" s="410">
        <f t="shared" si="7"/>
        <v>51</v>
      </c>
      <c r="I30" s="410">
        <f t="shared" si="7"/>
        <v>47</v>
      </c>
      <c r="K30" s="400"/>
      <c r="L30" s="400"/>
      <c r="M30" s="400"/>
      <c r="N30" s="400"/>
      <c r="O30" s="400"/>
      <c r="P30" s="400"/>
      <c r="Q30" s="400"/>
      <c r="R30" s="400"/>
      <c r="S30" s="400"/>
    </row>
    <row r="31" spans="1:19" x14ac:dyDescent="0.2">
      <c r="A31" s="397" t="str">
        <f>IF($K$55&gt;0,"Degrees of Rotation","")</f>
        <v/>
      </c>
      <c r="B31" s="411" t="str">
        <f>IF($K$55&gt;0,ATAN((B23/2)/$K$55)*360/2/PI()*2," ")</f>
        <v xml:space="preserve"> </v>
      </c>
      <c r="C31" s="411" t="str">
        <f>IF($K$55&gt;0,ATAN((C23/2)/$K$55)*360/2/PI()*2," ")</f>
        <v xml:space="preserve"> </v>
      </c>
      <c r="D31" s="411" t="str">
        <f t="shared" ref="D31:I31" si="8">IF($K$55&gt;0,ATAN((D23/2)/$K$55)*360/2/PI()*2," ")</f>
        <v xml:space="preserve"> </v>
      </c>
      <c r="E31" s="411" t="str">
        <f t="shared" si="8"/>
        <v xml:space="preserve"> </v>
      </c>
      <c r="F31" s="411" t="str">
        <f t="shared" si="8"/>
        <v xml:space="preserve"> </v>
      </c>
      <c r="G31" s="411" t="str">
        <f t="shared" si="8"/>
        <v xml:space="preserve"> </v>
      </c>
      <c r="H31" s="411" t="str">
        <f t="shared" si="8"/>
        <v xml:space="preserve"> </v>
      </c>
      <c r="I31" s="411" t="str">
        <f t="shared" si="8"/>
        <v xml:space="preserve"> </v>
      </c>
      <c r="K31" s="412" t="s">
        <v>722</v>
      </c>
      <c r="L31" s="400">
        <f>($B$7/60*2*PI()/$B$27)*($B$8)</f>
        <v>5.6181118529006469</v>
      </c>
      <c r="M31" s="400"/>
      <c r="N31" s="400" t="s">
        <v>723</v>
      </c>
      <c r="O31" s="400"/>
      <c r="P31" s="400"/>
      <c r="Q31" s="400"/>
      <c r="R31" s="400"/>
      <c r="S31" s="400"/>
    </row>
    <row r="32" spans="1:19" x14ac:dyDescent="0.2">
      <c r="B32" s="400"/>
      <c r="K32" s="412" t="s">
        <v>724</v>
      </c>
      <c r="L32" s="400">
        <f>($B$7/60*2*PI()/$B$27)*($E$8)/N42</f>
        <v>97.863448582511964</v>
      </c>
      <c r="M32" s="400"/>
      <c r="N32" s="400" t="s">
        <v>725</v>
      </c>
      <c r="O32" s="400"/>
      <c r="P32" s="400"/>
      <c r="Q32" s="400"/>
      <c r="R32" s="400"/>
      <c r="S32" s="400"/>
    </row>
    <row r="33" spans="1:19" x14ac:dyDescent="0.2">
      <c r="B33" s="400"/>
      <c r="K33" s="412" t="s">
        <v>726</v>
      </c>
      <c r="L33" s="400">
        <f>IF($K$55=0,((($B$19/32.2*$B$11)*$D$19)/$B$6),$B$19/$B$6*$D$19)/N42</f>
        <v>22.411756595275293</v>
      </c>
      <c r="M33" s="400"/>
      <c r="N33" s="400" t="s">
        <v>727</v>
      </c>
      <c r="O33" s="400"/>
      <c r="P33" s="400"/>
      <c r="Q33" s="400"/>
      <c r="R33" s="400"/>
      <c r="S33" s="400"/>
    </row>
    <row r="34" spans="1:19" x14ac:dyDescent="0.2">
      <c r="K34" s="412" t="s">
        <v>728</v>
      </c>
      <c r="L34" s="400">
        <f>$B$21*$D$19/$B$6/N42</f>
        <v>10.309408033826637</v>
      </c>
      <c r="M34" s="400"/>
      <c r="N34" s="400" t="s">
        <v>729</v>
      </c>
      <c r="O34" s="400"/>
      <c r="P34" s="400"/>
      <c r="Q34" s="400"/>
      <c r="R34" s="400"/>
      <c r="S34" s="400"/>
    </row>
    <row r="35" spans="1:19" x14ac:dyDescent="0.2">
      <c r="A35" s="397" t="s">
        <v>123</v>
      </c>
      <c r="B35" s="400">
        <f>I23+$E$17</f>
        <v>8</v>
      </c>
      <c r="C35" s="400">
        <f t="shared" ref="C35:I35" si="9">B35+$E$17</f>
        <v>9</v>
      </c>
      <c r="D35" s="400">
        <f t="shared" si="9"/>
        <v>10</v>
      </c>
      <c r="E35" s="400">
        <f t="shared" si="9"/>
        <v>11</v>
      </c>
      <c r="F35" s="400">
        <f t="shared" si="9"/>
        <v>12</v>
      </c>
      <c r="G35" s="400">
        <f t="shared" si="9"/>
        <v>13</v>
      </c>
      <c r="H35" s="400">
        <f t="shared" si="9"/>
        <v>14</v>
      </c>
      <c r="I35" s="400">
        <f t="shared" si="9"/>
        <v>15</v>
      </c>
      <c r="K35" s="413" t="s">
        <v>730</v>
      </c>
      <c r="L35" s="414">
        <f>SUM(L31,L32,L33,L34)</f>
        <v>136.20272506451454</v>
      </c>
      <c r="M35" s="414"/>
      <c r="N35" s="414" t="s">
        <v>731</v>
      </c>
      <c r="O35" s="414"/>
      <c r="P35" s="400"/>
      <c r="Q35" s="400"/>
      <c r="R35" s="400"/>
      <c r="S35" s="400"/>
    </row>
    <row r="36" spans="1:19" x14ac:dyDescent="0.2">
      <c r="A36" s="397" t="s">
        <v>432</v>
      </c>
      <c r="B36" s="400">
        <f t="shared" ref="B36:I36" si="10">SQRT(((($E$9^2)*B39)+(($E$11^2)*B39)+((((L46)+$B$14+$B$15)^2)*B37)+(($B$16^2)*$B$17)+(($B$15^2)*B38))/B41)</f>
        <v>84.058541665851024</v>
      </c>
      <c r="C36" s="400">
        <f t="shared" si="10"/>
        <v>81.127433966484048</v>
      </c>
      <c r="D36" s="400">
        <f t="shared" si="10"/>
        <v>78.488993121534037</v>
      </c>
      <c r="E36" s="400">
        <f t="shared" si="10"/>
        <v>76.097726176760972</v>
      </c>
      <c r="F36" s="400">
        <f t="shared" si="10"/>
        <v>73.917456674994042</v>
      </c>
      <c r="G36" s="400">
        <f t="shared" si="10"/>
        <v>71.919007346758221</v>
      </c>
      <c r="H36" s="400">
        <f t="shared" si="10"/>
        <v>70.078550397180436</v>
      </c>
      <c r="I36" s="400">
        <f t="shared" si="10"/>
        <v>68.376409392355882</v>
      </c>
      <c r="K36" s="400" t="s">
        <v>732</v>
      </c>
      <c r="L36" s="400">
        <f>L35-L31</f>
        <v>130.58461321161388</v>
      </c>
      <c r="M36" s="400"/>
      <c r="N36" s="400" t="s">
        <v>733</v>
      </c>
      <c r="O36" s="400"/>
      <c r="P36" s="400"/>
      <c r="Q36" s="400"/>
      <c r="R36" s="400"/>
      <c r="S36" s="400"/>
    </row>
    <row r="37" spans="1:19" x14ac:dyDescent="0.2">
      <c r="A37" s="397" t="s">
        <v>631</v>
      </c>
      <c r="B37" s="400">
        <f t="shared" ref="B37:I37" si="11">IF(B35&gt;$B$23,((B35-$B$23)/12)/$B$12,0)</f>
        <v>0.18091889951848597</v>
      </c>
      <c r="C37" s="400">
        <f t="shared" si="11"/>
        <v>0.23242525160560032</v>
      </c>
      <c r="D37" s="400">
        <f t="shared" si="11"/>
        <v>0.2839316036927147</v>
      </c>
      <c r="E37" s="400">
        <f t="shared" si="11"/>
        <v>0.33543795577982899</v>
      </c>
      <c r="F37" s="400">
        <f t="shared" si="11"/>
        <v>0.38694430786694339</v>
      </c>
      <c r="G37" s="400">
        <f t="shared" si="11"/>
        <v>0.43845065995405769</v>
      </c>
      <c r="H37" s="400">
        <f t="shared" si="11"/>
        <v>0.48995701204117204</v>
      </c>
      <c r="I37" s="400">
        <f t="shared" si="11"/>
        <v>0.54146336412828644</v>
      </c>
    </row>
    <row r="38" spans="1:19" x14ac:dyDescent="0.2">
      <c r="A38" s="397" t="s">
        <v>632</v>
      </c>
      <c r="B38" s="400">
        <f t="shared" ref="B38:I38" si="12">B41-B40</f>
        <v>0.68818273387534357</v>
      </c>
      <c r="C38" s="400">
        <f t="shared" si="12"/>
        <v>0.73968908596245786</v>
      </c>
      <c r="D38" s="400">
        <f t="shared" si="12"/>
        <v>0.79119543804957226</v>
      </c>
      <c r="E38" s="400">
        <f t="shared" si="12"/>
        <v>0.84270179013668656</v>
      </c>
      <c r="F38" s="400">
        <f t="shared" si="12"/>
        <v>0.89420814222380096</v>
      </c>
      <c r="G38" s="400">
        <f t="shared" si="12"/>
        <v>0.94571449431091525</v>
      </c>
      <c r="H38" s="400">
        <f t="shared" si="12"/>
        <v>0.99722084639802955</v>
      </c>
      <c r="I38" s="400">
        <f t="shared" si="12"/>
        <v>1.0487271984851438</v>
      </c>
    </row>
    <row r="39" spans="1:19" x14ac:dyDescent="0.2">
      <c r="A39" s="397" t="s">
        <v>85</v>
      </c>
      <c r="B39" s="400">
        <f t="shared" ref="B39:I39" si="13">IF(B35&gt;$B$23,$B$27,SQRT((B35/12)/$B$11))</f>
        <v>0.23113191717842876</v>
      </c>
      <c r="C39" s="400">
        <f t="shared" si="13"/>
        <v>0.23113191717842876</v>
      </c>
      <c r="D39" s="400">
        <f t="shared" si="13"/>
        <v>0.23113191717842876</v>
      </c>
      <c r="E39" s="400">
        <f t="shared" si="13"/>
        <v>0.23113191717842876</v>
      </c>
      <c r="F39" s="400">
        <f t="shared" si="13"/>
        <v>0.23113191717842876</v>
      </c>
      <c r="G39" s="400">
        <f t="shared" si="13"/>
        <v>0.23113191717842876</v>
      </c>
      <c r="H39" s="400">
        <f t="shared" si="13"/>
        <v>0.23113191717842876</v>
      </c>
      <c r="I39" s="400">
        <f t="shared" si="13"/>
        <v>0.23113191717842876</v>
      </c>
    </row>
    <row r="40" spans="1:19" x14ac:dyDescent="0.2">
      <c r="A40" s="397" t="s">
        <v>720</v>
      </c>
      <c r="B40" s="400">
        <f t="shared" ref="B40:I40" si="14">(B39*2)+B37+$B$17</f>
        <v>0.68818273387534357</v>
      </c>
      <c r="C40" s="400">
        <f t="shared" si="14"/>
        <v>0.73968908596245786</v>
      </c>
      <c r="D40" s="400">
        <f t="shared" si="14"/>
        <v>0.79119543804957226</v>
      </c>
      <c r="E40" s="400">
        <f t="shared" si="14"/>
        <v>0.84270179013668656</v>
      </c>
      <c r="F40" s="400">
        <f t="shared" si="14"/>
        <v>0.89420814222380096</v>
      </c>
      <c r="G40" s="400">
        <f t="shared" si="14"/>
        <v>0.94571449431091525</v>
      </c>
      <c r="H40" s="400">
        <f t="shared" si="14"/>
        <v>0.99722084639802955</v>
      </c>
      <c r="I40" s="400">
        <f t="shared" si="14"/>
        <v>1.0487271984851438</v>
      </c>
    </row>
    <row r="41" spans="1:19" x14ac:dyDescent="0.2">
      <c r="A41" s="397" t="s">
        <v>634</v>
      </c>
      <c r="B41" s="400">
        <f t="shared" ref="B41:I41" si="15">IF($B$13&gt;20,B40*(360/$B$13),B40+$B$13)</f>
        <v>1.3763654677506871</v>
      </c>
      <c r="C41" s="400">
        <f t="shared" si="15"/>
        <v>1.4793781719249157</v>
      </c>
      <c r="D41" s="400">
        <f t="shared" si="15"/>
        <v>1.5823908760991445</v>
      </c>
      <c r="E41" s="400">
        <f t="shared" si="15"/>
        <v>1.6854035802733731</v>
      </c>
      <c r="F41" s="400">
        <f t="shared" si="15"/>
        <v>1.7884162844476019</v>
      </c>
      <c r="G41" s="400">
        <f t="shared" si="15"/>
        <v>1.8914289886218305</v>
      </c>
      <c r="H41" s="400">
        <f t="shared" si="15"/>
        <v>1.9944416927960591</v>
      </c>
      <c r="I41" s="400">
        <f t="shared" si="15"/>
        <v>2.0974543969702877</v>
      </c>
      <c r="K41" s="402" t="s">
        <v>619</v>
      </c>
      <c r="L41" s="402" t="s">
        <v>620</v>
      </c>
      <c r="N41" s="402" t="s">
        <v>621</v>
      </c>
    </row>
    <row r="42" spans="1:19" x14ac:dyDescent="0.2">
      <c r="A42" s="397" t="s">
        <v>721</v>
      </c>
      <c r="B42" s="410">
        <f>ROUNDDOWN(60/B41,0)</f>
        <v>43</v>
      </c>
      <c r="C42" s="410">
        <f t="shared" ref="C42:I42" si="16">ROUNDDOWN(60/C41,0)</f>
        <v>40</v>
      </c>
      <c r="D42" s="410">
        <f t="shared" si="16"/>
        <v>37</v>
      </c>
      <c r="E42" s="410">
        <f t="shared" si="16"/>
        <v>35</v>
      </c>
      <c r="F42" s="410">
        <f t="shared" si="16"/>
        <v>33</v>
      </c>
      <c r="G42" s="410">
        <f t="shared" si="16"/>
        <v>31</v>
      </c>
      <c r="H42" s="410">
        <f t="shared" si="16"/>
        <v>30</v>
      </c>
      <c r="I42" s="410">
        <f t="shared" si="16"/>
        <v>28</v>
      </c>
      <c r="J42" s="397" t="s">
        <v>622</v>
      </c>
      <c r="K42" s="415"/>
      <c r="L42" s="415"/>
      <c r="M42" s="415"/>
      <c r="N42" s="398">
        <v>1</v>
      </c>
      <c r="O42" s="398">
        <v>0</v>
      </c>
      <c r="Q42" s="398">
        <v>0</v>
      </c>
      <c r="R42" s="398">
        <v>1</v>
      </c>
      <c r="S42" s="398">
        <f>Q42*O42</f>
        <v>0</v>
      </c>
    </row>
    <row r="43" spans="1:19" x14ac:dyDescent="0.2">
      <c r="A43" s="397" t="str">
        <f>A31</f>
        <v/>
      </c>
      <c r="B43" s="411" t="str">
        <f>IF($K$55&gt;0,ATAN((B35/2)/$K$55)*360/2/PI()*2," ")</f>
        <v xml:space="preserve"> </v>
      </c>
      <c r="C43" s="411" t="str">
        <f>IF($K$55&gt;0,ATAN((C35/2)/$K$55)*360/2/PI()*2," ")</f>
        <v xml:space="preserve"> </v>
      </c>
      <c r="D43" s="411" t="str">
        <f t="shared" ref="D43:I43" si="17">IF($K$55&gt;0,ATAN((D35/2)/$K$55)*360/2/PI()*2," ")</f>
        <v xml:space="preserve"> </v>
      </c>
      <c r="E43" s="411" t="str">
        <f t="shared" si="17"/>
        <v xml:space="preserve"> </v>
      </c>
      <c r="F43" s="411" t="str">
        <f t="shared" si="17"/>
        <v xml:space="preserve"> </v>
      </c>
      <c r="G43" s="411" t="str">
        <f t="shared" si="17"/>
        <v xml:space="preserve"> </v>
      </c>
      <c r="H43" s="411" t="str">
        <f t="shared" si="17"/>
        <v xml:space="preserve"> </v>
      </c>
      <c r="I43" s="411" t="str">
        <f t="shared" si="17"/>
        <v xml:space="preserve"> </v>
      </c>
    </row>
    <row r="44" spans="1:19" x14ac:dyDescent="0.2">
      <c r="K44" s="402" t="s">
        <v>114</v>
      </c>
      <c r="L44" s="402" t="s">
        <v>623</v>
      </c>
      <c r="M44" s="402" t="s">
        <v>624</v>
      </c>
      <c r="N44" s="402" t="s">
        <v>625</v>
      </c>
      <c r="O44" s="402" t="s">
        <v>626</v>
      </c>
    </row>
    <row r="45" spans="1:19" x14ac:dyDescent="0.2">
      <c r="A45" s="397" t="s">
        <v>123</v>
      </c>
      <c r="B45" s="400">
        <f>I35+$E$17</f>
        <v>16</v>
      </c>
      <c r="C45" s="400">
        <f t="shared" ref="C45:I45" si="18">B45+$E$17</f>
        <v>17</v>
      </c>
      <c r="D45" s="400">
        <f t="shared" si="18"/>
        <v>18</v>
      </c>
      <c r="E45" s="400">
        <f t="shared" si="18"/>
        <v>19</v>
      </c>
      <c r="F45" s="400">
        <f t="shared" si="18"/>
        <v>20</v>
      </c>
      <c r="G45" s="400">
        <f t="shared" si="18"/>
        <v>21</v>
      </c>
      <c r="H45" s="400">
        <f t="shared" si="18"/>
        <v>22</v>
      </c>
      <c r="I45" s="400">
        <f t="shared" si="18"/>
        <v>23</v>
      </c>
      <c r="J45" s="397" t="s">
        <v>628</v>
      </c>
      <c r="K45" s="399">
        <v>12</v>
      </c>
      <c r="L45" s="399">
        <v>0.156</v>
      </c>
      <c r="M45" s="399">
        <v>40</v>
      </c>
      <c r="N45" s="399">
        <v>0.28299999999999997</v>
      </c>
      <c r="O45" s="405">
        <f>IF($B$5=12,80,IF($B$5=18,60,IF($B$5=24,40,0)))</f>
        <v>0</v>
      </c>
      <c r="P45" s="400">
        <f>K45*L45*O45*N45</f>
        <v>0</v>
      </c>
      <c r="Q45" s="400">
        <f>((K45*L45*M45*N45)/32.3)*(((K5*0.5)^2)/144)*12</f>
        <v>6.9194814241486075E-2</v>
      </c>
      <c r="R45" s="400">
        <f>$B$6</f>
        <v>1.7168784029038116</v>
      </c>
      <c r="S45" s="400">
        <f>Q45/(R5^2)</f>
        <v>2.3474398489388287E-2</v>
      </c>
    </row>
    <row r="46" spans="1:19" x14ac:dyDescent="0.2">
      <c r="A46" s="397" t="s">
        <v>432</v>
      </c>
      <c r="B46" s="400">
        <f t="shared" ref="B46:I46" si="19">SQRT(((($E$9^2)*B49)+(($E$11^2)*B49)+((((L56)+$B$14+$B$15)^2)*B47)+(($B$16^2)*$B$17)+(($B$15^2)*B48))/B51)</f>
        <v>66.796173566035648</v>
      </c>
      <c r="C46" s="400">
        <f t="shared" si="19"/>
        <v>65.324032622637219</v>
      </c>
      <c r="D46" s="400">
        <f t="shared" si="19"/>
        <v>63.948269970538611</v>
      </c>
      <c r="E46" s="400">
        <f t="shared" si="19"/>
        <v>62.658871641982564</v>
      </c>
      <c r="F46" s="400">
        <f t="shared" si="19"/>
        <v>61.44722093221305</v>
      </c>
      <c r="G46" s="400">
        <f t="shared" si="19"/>
        <v>60.305857404394878</v>
      </c>
      <c r="H46" s="400">
        <f t="shared" si="19"/>
        <v>59.228284818131854</v>
      </c>
      <c r="I46" s="400">
        <f t="shared" si="19"/>
        <v>58.208816662029996</v>
      </c>
    </row>
    <row r="47" spans="1:19" x14ac:dyDescent="0.2">
      <c r="A47" s="397" t="s">
        <v>631</v>
      </c>
      <c r="B47" s="400">
        <f t="shared" ref="B47:I47" si="20">IF(B45&gt;$B$23,((B45-$B$23)/12)/$B$12,0)</f>
        <v>0.59296971621540073</v>
      </c>
      <c r="C47" s="400">
        <f t="shared" si="20"/>
        <v>0.64447606830251514</v>
      </c>
      <c r="D47" s="400">
        <f t="shared" si="20"/>
        <v>0.69598242038962943</v>
      </c>
      <c r="E47" s="400">
        <f t="shared" si="20"/>
        <v>0.74748877247674383</v>
      </c>
      <c r="F47" s="400">
        <f t="shared" si="20"/>
        <v>0.79899512456385813</v>
      </c>
      <c r="G47" s="400">
        <f t="shared" si="20"/>
        <v>0.85050147665097253</v>
      </c>
      <c r="H47" s="400">
        <f t="shared" si="20"/>
        <v>0.90200782873808683</v>
      </c>
      <c r="I47" s="400">
        <f t="shared" si="20"/>
        <v>0.95351418082520134</v>
      </c>
      <c r="J47" s="397" t="s">
        <v>104</v>
      </c>
    </row>
    <row r="48" spans="1:19" x14ac:dyDescent="0.2">
      <c r="A48" s="397" t="s">
        <v>632</v>
      </c>
      <c r="B48" s="400">
        <f t="shared" ref="B48:I48" si="21">B51-B50</f>
        <v>1.1002335505722582</v>
      </c>
      <c r="C48" s="400">
        <f t="shared" si="21"/>
        <v>1.1517399026593726</v>
      </c>
      <c r="D48" s="400">
        <f t="shared" si="21"/>
        <v>1.2032462547464868</v>
      </c>
      <c r="E48" s="400">
        <f t="shared" si="21"/>
        <v>1.2547526068336012</v>
      </c>
      <c r="F48" s="400">
        <f t="shared" si="21"/>
        <v>1.3062589589207156</v>
      </c>
      <c r="G48" s="400">
        <f t="shared" si="21"/>
        <v>1.35776531100783</v>
      </c>
      <c r="H48" s="400">
        <f t="shared" si="21"/>
        <v>1.4092716630949442</v>
      </c>
      <c r="I48" s="400">
        <f t="shared" si="21"/>
        <v>1.4607780151820589</v>
      </c>
      <c r="J48" s="397" t="s">
        <v>577</v>
      </c>
      <c r="K48" s="400">
        <f>SUM(S5:S54)</f>
        <v>0.10799951960698428</v>
      </c>
    </row>
    <row r="49" spans="1:19" x14ac:dyDescent="0.2">
      <c r="A49" s="397" t="s">
        <v>85</v>
      </c>
      <c r="B49" s="400">
        <f t="shared" ref="B49:I49" si="22">IF(B45&gt;$B$23,$B$27,SQRT((B45/12)/$B$11))</f>
        <v>0.23113191717842876</v>
      </c>
      <c r="C49" s="400">
        <f t="shared" si="22"/>
        <v>0.23113191717842876</v>
      </c>
      <c r="D49" s="400">
        <f t="shared" si="22"/>
        <v>0.23113191717842876</v>
      </c>
      <c r="E49" s="400">
        <f t="shared" si="22"/>
        <v>0.23113191717842876</v>
      </c>
      <c r="F49" s="400">
        <f t="shared" si="22"/>
        <v>0.23113191717842876</v>
      </c>
      <c r="G49" s="400">
        <f t="shared" si="22"/>
        <v>0.23113191717842876</v>
      </c>
      <c r="H49" s="400">
        <f t="shared" si="22"/>
        <v>0.23113191717842876</v>
      </c>
      <c r="I49" s="400">
        <f t="shared" si="22"/>
        <v>0.23113191717842876</v>
      </c>
      <c r="K49" s="416" t="s">
        <v>419</v>
      </c>
      <c r="L49" s="417"/>
      <c r="M49" s="417"/>
      <c r="N49" s="417"/>
      <c r="O49" s="417"/>
      <c r="P49" s="417"/>
      <c r="Q49" s="417"/>
    </row>
    <row r="50" spans="1:19" x14ac:dyDescent="0.2">
      <c r="A50" s="397" t="s">
        <v>720</v>
      </c>
      <c r="B50" s="400">
        <f t="shared" ref="B50:I50" si="23">(B49*2)+B47+$B$17</f>
        <v>1.1002335505722582</v>
      </c>
      <c r="C50" s="400">
        <f t="shared" si="23"/>
        <v>1.1517399026593726</v>
      </c>
      <c r="D50" s="400">
        <f t="shared" si="23"/>
        <v>1.2032462547464868</v>
      </c>
      <c r="E50" s="400">
        <f t="shared" si="23"/>
        <v>1.2547526068336012</v>
      </c>
      <c r="F50" s="400">
        <f t="shared" si="23"/>
        <v>1.3062589589207156</v>
      </c>
      <c r="G50" s="400">
        <f t="shared" si="23"/>
        <v>1.35776531100783</v>
      </c>
      <c r="H50" s="400">
        <f t="shared" si="23"/>
        <v>1.4092716630949442</v>
      </c>
      <c r="I50" s="400">
        <f t="shared" si="23"/>
        <v>1.4607780151820589</v>
      </c>
      <c r="K50" s="416" t="s">
        <v>734</v>
      </c>
      <c r="L50" s="417"/>
      <c r="M50" s="417"/>
      <c r="N50" s="417"/>
      <c r="O50" s="417"/>
      <c r="P50" s="417"/>
      <c r="Q50" s="417"/>
    </row>
    <row r="51" spans="1:19" x14ac:dyDescent="0.2">
      <c r="A51" s="397" t="s">
        <v>634</v>
      </c>
      <c r="B51" s="400">
        <f t="shared" ref="B51:I51" si="24">IF($B$13&gt;20,B50*(360/$B$13),B50+$B$13)</f>
        <v>2.2004671011445165</v>
      </c>
      <c r="C51" s="400">
        <f t="shared" si="24"/>
        <v>2.3034798053187453</v>
      </c>
      <c r="D51" s="400">
        <f t="shared" si="24"/>
        <v>2.4064925094929737</v>
      </c>
      <c r="E51" s="400">
        <f t="shared" si="24"/>
        <v>2.5095052136672025</v>
      </c>
      <c r="F51" s="400">
        <f t="shared" si="24"/>
        <v>2.6125179178414313</v>
      </c>
      <c r="G51" s="400">
        <f t="shared" si="24"/>
        <v>2.7155306220156601</v>
      </c>
      <c r="H51" s="400">
        <f t="shared" si="24"/>
        <v>2.8185433261898885</v>
      </c>
      <c r="I51" s="400">
        <f t="shared" si="24"/>
        <v>2.9215560303641177</v>
      </c>
      <c r="K51" s="417" t="s">
        <v>735</v>
      </c>
      <c r="L51" s="417"/>
      <c r="M51" s="417"/>
      <c r="N51" s="417"/>
      <c r="O51" s="417"/>
      <c r="P51" s="417"/>
      <c r="Q51" s="417"/>
    </row>
    <row r="52" spans="1:19" x14ac:dyDescent="0.2">
      <c r="A52" s="397" t="s">
        <v>721</v>
      </c>
      <c r="B52" s="410">
        <f>ROUNDDOWN(60/B51,0)</f>
        <v>27</v>
      </c>
      <c r="C52" s="410">
        <f t="shared" ref="C52:I52" si="25">ROUNDDOWN(60/C51,0)</f>
        <v>26</v>
      </c>
      <c r="D52" s="410">
        <f t="shared" si="25"/>
        <v>24</v>
      </c>
      <c r="E52" s="410">
        <f t="shared" si="25"/>
        <v>23</v>
      </c>
      <c r="F52" s="410">
        <f t="shared" si="25"/>
        <v>22</v>
      </c>
      <c r="G52" s="410">
        <f t="shared" si="25"/>
        <v>22</v>
      </c>
      <c r="H52" s="410">
        <f t="shared" si="25"/>
        <v>21</v>
      </c>
      <c r="I52" s="410">
        <f t="shared" si="25"/>
        <v>20</v>
      </c>
      <c r="K52" s="416" t="s">
        <v>736</v>
      </c>
      <c r="L52" s="417"/>
      <c r="M52" s="417"/>
      <c r="N52" s="417"/>
      <c r="O52" s="417"/>
      <c r="P52" s="417"/>
      <c r="Q52" s="417"/>
    </row>
    <row r="53" spans="1:19" x14ac:dyDescent="0.2">
      <c r="A53" s="397" t="str">
        <f>A43</f>
        <v/>
      </c>
      <c r="B53" s="411" t="str">
        <f>IF($K$55&gt;0,ATAN((B45/2)/$K$55)*360/2/PI()*2," ")</f>
        <v xml:space="preserve"> </v>
      </c>
      <c r="C53" s="411" t="str">
        <f>IF($K$55&gt;0,ATAN((C45/2)/$K$55)*360/2/PI()*2," ")</f>
        <v xml:space="preserve"> </v>
      </c>
      <c r="D53" s="411" t="str">
        <f t="shared" ref="D53:I53" si="26">IF($K$55&gt;0,ATAN((D45/2)/$K$55)*360/2/PI()*2," ")</f>
        <v xml:space="preserve"> </v>
      </c>
      <c r="E53" s="411" t="str">
        <f t="shared" si="26"/>
        <v xml:space="preserve"> </v>
      </c>
      <c r="F53" s="411" t="str">
        <f t="shared" si="26"/>
        <v xml:space="preserve"> </v>
      </c>
      <c r="G53" s="411" t="str">
        <f t="shared" si="26"/>
        <v xml:space="preserve"> </v>
      </c>
      <c r="H53" s="411" t="str">
        <f t="shared" si="26"/>
        <v xml:space="preserve"> </v>
      </c>
      <c r="I53" s="411" t="str">
        <f t="shared" si="26"/>
        <v xml:space="preserve"> </v>
      </c>
      <c r="K53" s="416" t="s">
        <v>737</v>
      </c>
      <c r="L53" s="417"/>
      <c r="M53" s="417"/>
      <c r="N53" s="417"/>
      <c r="O53" s="417"/>
      <c r="P53" s="417" t="s">
        <v>738</v>
      </c>
      <c r="Q53" s="398" t="s">
        <v>739</v>
      </c>
      <c r="R53" s="398" t="s">
        <v>740</v>
      </c>
      <c r="S53" s="398" t="s">
        <v>741</v>
      </c>
    </row>
    <row r="54" spans="1:19" x14ac:dyDescent="0.2">
      <c r="J54" s="397" t="s">
        <v>742</v>
      </c>
      <c r="K54" s="405"/>
      <c r="L54" s="405"/>
      <c r="M54" s="405"/>
      <c r="N54" s="405"/>
      <c r="O54" s="405"/>
      <c r="P54" s="399">
        <v>750</v>
      </c>
      <c r="Q54" s="399">
        <v>0.85</v>
      </c>
      <c r="R54" s="400">
        <f>B18</f>
        <v>1</v>
      </c>
      <c r="S54" s="400">
        <f>(P54*(R54^2))/(15260*Q54)/(B6^2)</f>
        <v>1.9615922136798247E-2</v>
      </c>
    </row>
    <row r="55" spans="1:19" x14ac:dyDescent="0.2">
      <c r="J55" s="397" t="s">
        <v>743</v>
      </c>
      <c r="K55" s="398">
        <v>0</v>
      </c>
      <c r="L55" s="415"/>
      <c r="M55" s="415"/>
      <c r="N55" s="415"/>
      <c r="O55" s="415"/>
    </row>
    <row r="57" spans="1:19" x14ac:dyDescent="0.2">
      <c r="K57" s="398" t="s">
        <v>744</v>
      </c>
    </row>
    <row r="58" spans="1:19" x14ac:dyDescent="0.2">
      <c r="B58" s="404">
        <f>IF(K55&gt;0,$K$55/120,1)</f>
        <v>1</v>
      </c>
      <c r="C58" s="398" t="s">
        <v>745</v>
      </c>
      <c r="K58" s="398" t="s">
        <v>746</v>
      </c>
    </row>
    <row r="59" spans="1:19" x14ac:dyDescent="0.2">
      <c r="B59" s="404">
        <f>B7/60/B6*B18</f>
        <v>19.415081042988017</v>
      </c>
      <c r="C59" s="398" t="s">
        <v>747</v>
      </c>
      <c r="K59" s="398" t="s">
        <v>748</v>
      </c>
    </row>
    <row r="60" spans="1:19" x14ac:dyDescent="0.2">
      <c r="B60" s="404" t="e">
        <f>ASIN(B58/K55)</f>
        <v>#DIV/0!</v>
      </c>
      <c r="C60" s="398" t="s">
        <v>749</v>
      </c>
      <c r="K60" s="398" t="s">
        <v>750</v>
      </c>
    </row>
    <row r="61" spans="1:19" x14ac:dyDescent="0.2">
      <c r="B61" s="404">
        <f>B58/B59</f>
        <v>5.1506352087114342E-2</v>
      </c>
      <c r="C61" s="398" t="s">
        <v>751</v>
      </c>
      <c r="K61" s="398" t="s">
        <v>752</v>
      </c>
    </row>
    <row r="62" spans="1:19" x14ac:dyDescent="0.2">
      <c r="B62" s="404">
        <f>SQRT(2*B58/(B11*12))</f>
        <v>0.15430334996209191</v>
      </c>
      <c r="C62" s="398" t="s">
        <v>753</v>
      </c>
      <c r="K62" s="398" t="s">
        <v>754</v>
      </c>
    </row>
    <row r="63" spans="1:19" x14ac:dyDescent="0.2">
      <c r="B63" s="404">
        <f>B62*B11*12</f>
        <v>12.961481396815721</v>
      </c>
      <c r="C63" s="398" t="s">
        <v>755</v>
      </c>
      <c r="K63" s="398" t="s">
        <v>756</v>
      </c>
    </row>
    <row r="64" spans="1:19" x14ac:dyDescent="0.2">
      <c r="B64" s="404" t="e">
        <f>(B60/B61)*(B63/B59)</f>
        <v>#DIV/0!</v>
      </c>
      <c r="C64" s="398" t="s">
        <v>757</v>
      </c>
      <c r="K64" s="398" t="s">
        <v>758</v>
      </c>
    </row>
    <row r="65" spans="2:3" x14ac:dyDescent="0.2">
      <c r="B65" s="404" t="e">
        <f>B64/B62</f>
        <v>#DIV/0!</v>
      </c>
      <c r="C65" s="398" t="s">
        <v>759</v>
      </c>
    </row>
    <row r="66" spans="2:3" x14ac:dyDescent="0.2">
      <c r="B66" s="404">
        <f>IF(K55&gt;0,Q54*B65/$K$55,0)</f>
        <v>0</v>
      </c>
      <c r="C66" s="398" t="s">
        <v>760</v>
      </c>
    </row>
    <row r="67" spans="2:3" x14ac:dyDescent="0.2">
      <c r="B67" s="402" t="str">
        <f>IF(B63&lt;B59," ","Assumed move too big!")</f>
        <v xml:space="preserve"> </v>
      </c>
    </row>
  </sheetData>
  <mergeCells count="1">
    <mergeCell ref="F4:H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Button 1">
              <controlPr defaultSize="0" print="0" autoFill="0" autoPict="0" macro="[0]!Tbl_Contents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190500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57</vt:i4>
      </vt:variant>
      <vt:variant>
        <vt:lpstr>Named Ranges</vt:lpstr>
      </vt:variant>
      <vt:variant>
        <vt:i4>1371</vt:i4>
      </vt:variant>
    </vt:vector>
  </HeadingPairs>
  <TitlesOfParts>
    <vt:vector size="1428" baseType="lpstr">
      <vt:lpstr>Table of Contents</vt:lpstr>
      <vt:lpstr>RFQ</vt:lpstr>
      <vt:lpstr>MAP</vt:lpstr>
      <vt:lpstr>Material Specifications</vt:lpstr>
      <vt:lpstr>Lookups</vt:lpstr>
      <vt:lpstr>Passlines</vt:lpstr>
      <vt:lpstr>Equipment Summary</vt:lpstr>
      <vt:lpstr>TD,DB,HD (1)</vt:lpstr>
      <vt:lpstr>TD,DB,HD (2)</vt:lpstr>
      <vt:lpstr>TD,DB,HD (3)</vt:lpstr>
      <vt:lpstr>TD,DB,HD (4)</vt:lpstr>
      <vt:lpstr>Reel Drive</vt:lpstr>
      <vt:lpstr>Str. Utility (1)</vt:lpstr>
      <vt:lpstr>Str. Utility (2)</vt:lpstr>
      <vt:lpstr>Str. Utility (3)</vt:lpstr>
      <vt:lpstr>Str. Utility (4)</vt:lpstr>
      <vt:lpstr>7 Roll Str. Backbend (1)</vt:lpstr>
      <vt:lpstr>7 Roll Str. Backbend (2)</vt:lpstr>
      <vt:lpstr>7 Roll Str. Backbend (3)</vt:lpstr>
      <vt:lpstr>7 Roll Str. Backbend (4)</vt:lpstr>
      <vt:lpstr>9 Roll Str. Backbend (1)</vt:lpstr>
      <vt:lpstr>9 Roll Str. Backbend (2)</vt:lpstr>
      <vt:lpstr>9 Roll Str. Backbend (3)</vt:lpstr>
      <vt:lpstr>9 Roll Str. Backbend (4)</vt:lpstr>
      <vt:lpstr>11 Roll Str. Backbend (1)</vt:lpstr>
      <vt:lpstr>11 Roll Str. Backbend (2)</vt:lpstr>
      <vt:lpstr>11 Roll Str. Backbend (3)</vt:lpstr>
      <vt:lpstr>11 Roll Str. Backbend (4)</vt:lpstr>
      <vt:lpstr>Sigma 5 Feed (1)</vt:lpstr>
      <vt:lpstr>Regen</vt:lpstr>
      <vt:lpstr>Inertia</vt:lpstr>
      <vt:lpstr>Time</vt:lpstr>
      <vt:lpstr>Sigma 5 Feed (2)</vt:lpstr>
      <vt:lpstr>Regen2</vt:lpstr>
      <vt:lpstr>Inertia2</vt:lpstr>
      <vt:lpstr>Time2</vt:lpstr>
      <vt:lpstr>Sigma 5 Feed With Pull Thru (1)</vt:lpstr>
      <vt:lpstr>Regen3</vt:lpstr>
      <vt:lpstr>Inertia3</vt:lpstr>
      <vt:lpstr>Time3</vt:lpstr>
      <vt:lpstr>Single Rake Hyd. Shear (1)</vt:lpstr>
      <vt:lpstr>Single Rake Hyd. Shear (2)</vt:lpstr>
      <vt:lpstr>Bow Tie Hyd. Shear (1)</vt:lpstr>
      <vt:lpstr>Bow Tie Hyd. Shear (2)</vt:lpstr>
      <vt:lpstr>Sigma 5 Feed With Pull Thru (2)</vt:lpstr>
      <vt:lpstr>Regen4</vt:lpstr>
      <vt:lpstr>Inertia4</vt:lpstr>
      <vt:lpstr>Time4</vt:lpstr>
      <vt:lpstr>Allen Bradley MPL - Feed (1)</vt:lpstr>
      <vt:lpstr>Regen5</vt:lpstr>
      <vt:lpstr>Inertia5</vt:lpstr>
      <vt:lpstr>Time5</vt:lpstr>
      <vt:lpstr>Allen Bradley MPL - Feed (2)</vt:lpstr>
      <vt:lpstr>Regen6</vt:lpstr>
      <vt:lpstr>Inertia6</vt:lpstr>
      <vt:lpstr>Time6</vt:lpstr>
      <vt:lpstr>Zig-Zag</vt:lpstr>
      <vt:lpstr>ABOK</vt:lpstr>
      <vt:lpstr>'Allen Bradley MPL - Feed (1)'!ACCEL</vt:lpstr>
      <vt:lpstr>'Allen Bradley MPL - Feed (2)'!ACCEL</vt:lpstr>
      <vt:lpstr>'Reel Drive'!ACCEL</vt:lpstr>
      <vt:lpstr>'Sigma 5 Feed (1)'!ACCEL</vt:lpstr>
      <vt:lpstr>'Sigma 5 Feed (2)'!ACCEL</vt:lpstr>
      <vt:lpstr>'Sigma 5 Feed With Pull Thru (1)'!ACCEL</vt:lpstr>
      <vt:lpstr>'Sigma 5 Feed With Pull Thru (2)'!ACCEL</vt:lpstr>
      <vt:lpstr>'Str. Utility (1)'!accel</vt:lpstr>
      <vt:lpstr>'Str. Utility (2)'!accel</vt:lpstr>
      <vt:lpstr>'Str. Utility (3)'!accel</vt:lpstr>
      <vt:lpstr>'Str. Utility (4)'!accel</vt:lpstr>
      <vt:lpstr>Time!ACCEL</vt:lpstr>
      <vt:lpstr>Time2!ACCEL</vt:lpstr>
      <vt:lpstr>Time3!ACCEL</vt:lpstr>
      <vt:lpstr>Time4!ACCEL</vt:lpstr>
      <vt:lpstr>Time5!ACCEL</vt:lpstr>
      <vt:lpstr>Time6!ACCEL</vt:lpstr>
      <vt:lpstr>'Allen Bradley MPL - Feed (1)'!ACCTM</vt:lpstr>
      <vt:lpstr>'Allen Bradley MPL - Feed (2)'!ACCTM</vt:lpstr>
      <vt:lpstr>Regen!ACCTM</vt:lpstr>
      <vt:lpstr>Regen2!ACCTM</vt:lpstr>
      <vt:lpstr>Regen3!ACCTM</vt:lpstr>
      <vt:lpstr>Regen4!ACCTM</vt:lpstr>
      <vt:lpstr>Regen5!ACCTM</vt:lpstr>
      <vt:lpstr>Regen6!ACCTM</vt:lpstr>
      <vt:lpstr>'Sigma 5 Feed (1)'!ACCTM</vt:lpstr>
      <vt:lpstr>'Sigma 5 Feed (2)'!ACCTM</vt:lpstr>
      <vt:lpstr>'Sigma 5 Feed With Pull Thru (1)'!ACCTM</vt:lpstr>
      <vt:lpstr>'Sigma 5 Feed With Pull Thru (2)'!ACCTM</vt:lpstr>
      <vt:lpstr>Time!ACCTM</vt:lpstr>
      <vt:lpstr>Time2!ACCTM</vt:lpstr>
      <vt:lpstr>Time3!ACCTM</vt:lpstr>
      <vt:lpstr>Time4!ACCTM</vt:lpstr>
      <vt:lpstr>Time5!ACCTM</vt:lpstr>
      <vt:lpstr>Time6!ACCTM</vt:lpstr>
      <vt:lpstr>'Allen Bradley MPL - Feed (1)'!ACCTM_2</vt:lpstr>
      <vt:lpstr>'Allen Bradley MPL - Feed (2)'!ACCTM_2</vt:lpstr>
      <vt:lpstr>'Sigma 5 Feed (1)'!ACCTM_2</vt:lpstr>
      <vt:lpstr>'Sigma 5 Feed (2)'!ACCTM_2</vt:lpstr>
      <vt:lpstr>'Sigma 5 Feed With Pull Thru (1)'!ACCTM_2</vt:lpstr>
      <vt:lpstr>'Sigma 5 Feed With Pull Thru (2)'!ACCTM_2</vt:lpstr>
      <vt:lpstr>Time!ACCTM_2</vt:lpstr>
      <vt:lpstr>Time2!ACCTM_2</vt:lpstr>
      <vt:lpstr>Time3!ACCTM_2</vt:lpstr>
      <vt:lpstr>Time4!ACCTM_2</vt:lpstr>
      <vt:lpstr>Time5!ACCTM_2</vt:lpstr>
      <vt:lpstr>Time6!ACCTM_2</vt:lpstr>
      <vt:lpstr>'Allen Bradley MPL - Feed (1)'!ACCTQ</vt:lpstr>
      <vt:lpstr>'Allen Bradley MPL - Feed (2)'!ACCTQ</vt:lpstr>
      <vt:lpstr>'Sigma 5 Feed (1)'!ACCTQ</vt:lpstr>
      <vt:lpstr>'Sigma 5 Feed (2)'!ACCTQ</vt:lpstr>
      <vt:lpstr>'Sigma 5 Feed With Pull Thru (1)'!ACCTQ</vt:lpstr>
      <vt:lpstr>'Sigma 5 Feed With Pull Thru (2)'!ACCTQ</vt:lpstr>
      <vt:lpstr>Time!ACCTQ</vt:lpstr>
      <vt:lpstr>Time2!ACCTQ</vt:lpstr>
      <vt:lpstr>Time3!ACCTQ</vt:lpstr>
      <vt:lpstr>Time4!ACCTQ</vt:lpstr>
      <vt:lpstr>Time5!ACCTQ</vt:lpstr>
      <vt:lpstr>Time6!ACCTQ</vt:lpstr>
      <vt:lpstr>'Allen Bradley MPL - Feed (1)'!ACCTQ_2</vt:lpstr>
      <vt:lpstr>'Allen Bradley MPL - Feed (2)'!ACCTQ_2</vt:lpstr>
      <vt:lpstr>'Sigma 5 Feed (1)'!ACCTQ_2</vt:lpstr>
      <vt:lpstr>'Sigma 5 Feed (2)'!ACCTQ_2</vt:lpstr>
      <vt:lpstr>'Sigma 5 Feed With Pull Thru (1)'!ACCTQ_2</vt:lpstr>
      <vt:lpstr>'Sigma 5 Feed With Pull Thru (2)'!ACCTQ_2</vt:lpstr>
      <vt:lpstr>Time!ACCTQ_2</vt:lpstr>
      <vt:lpstr>Time2!ACCTQ_2</vt:lpstr>
      <vt:lpstr>Time3!ACCTQ_2</vt:lpstr>
      <vt:lpstr>Time4!ACCTQ_2</vt:lpstr>
      <vt:lpstr>Time5!ACCTQ_2</vt:lpstr>
      <vt:lpstr>Time6!ACCTQ_2</vt:lpstr>
      <vt:lpstr>'Reel Drive'!ACELTIME</vt:lpstr>
      <vt:lpstr>'TD,DB,HD (1)'!air_clutch</vt:lpstr>
      <vt:lpstr>'TD,DB,HD (2)'!air_clutch</vt:lpstr>
      <vt:lpstr>'TD,DB,HD (3)'!air_clutch</vt:lpstr>
      <vt:lpstr>'TD,DB,HD (4)'!air_clutch</vt:lpstr>
      <vt:lpstr>'TD,DB,HD (1)'!air_press</vt:lpstr>
      <vt:lpstr>'TD,DB,HD (2)'!air_press</vt:lpstr>
      <vt:lpstr>'TD,DB,HD (3)'!air_press</vt:lpstr>
      <vt:lpstr>'TD,DB,HD (4)'!air_press</vt:lpstr>
      <vt:lpstr>'Allen Bradley MPL - Feed (1)'!ALLACC</vt:lpstr>
      <vt:lpstr>'Allen Bradley MPL - Feed (2)'!ALLACC</vt:lpstr>
      <vt:lpstr>'Sigma 5 Feed (1)'!ALLACC</vt:lpstr>
      <vt:lpstr>'Sigma 5 Feed (2)'!ALLACC</vt:lpstr>
      <vt:lpstr>'Sigma 5 Feed With Pull Thru (1)'!ALLACC</vt:lpstr>
      <vt:lpstr>'Sigma 5 Feed With Pull Thru (2)'!ALLACC</vt:lpstr>
      <vt:lpstr>Time!ALLACC</vt:lpstr>
      <vt:lpstr>Time2!ALLACC</vt:lpstr>
      <vt:lpstr>Time3!ALLACC</vt:lpstr>
      <vt:lpstr>Time4!ALLACC</vt:lpstr>
      <vt:lpstr>Time5!ALLACC</vt:lpstr>
      <vt:lpstr>Time6!ALLACC</vt:lpstr>
      <vt:lpstr>'Allen Bradley MPL - Feed (1)'!ALLACC_2</vt:lpstr>
      <vt:lpstr>'Allen Bradley MPL - Feed (2)'!ALLACC_2</vt:lpstr>
      <vt:lpstr>'Sigma 5 Feed (1)'!ALLACC_2</vt:lpstr>
      <vt:lpstr>'Sigma 5 Feed (2)'!ALLACC_2</vt:lpstr>
      <vt:lpstr>'Sigma 5 Feed With Pull Thru (1)'!ALLACC_2</vt:lpstr>
      <vt:lpstr>'Sigma 5 Feed With Pull Thru (2)'!ALLACC_2</vt:lpstr>
      <vt:lpstr>Time!ALLACC_2</vt:lpstr>
      <vt:lpstr>Time2!ALLACC_2</vt:lpstr>
      <vt:lpstr>Time3!ALLACC_2</vt:lpstr>
      <vt:lpstr>Time4!ALLACC_2</vt:lpstr>
      <vt:lpstr>Time5!ALLACC_2</vt:lpstr>
      <vt:lpstr>Time6!ALLACC_2</vt:lpstr>
      <vt:lpstr>AllStrOK</vt:lpstr>
      <vt:lpstr>'Allen Bradley MPL - Feed (1)'!application</vt:lpstr>
      <vt:lpstr>'Allen Bradley MPL - Feed (2)'!application</vt:lpstr>
      <vt:lpstr>'Sigma 5 Feed (1)'!application</vt:lpstr>
      <vt:lpstr>'Sigma 5 Feed (2)'!application</vt:lpstr>
      <vt:lpstr>'Sigma 5 Feed With Pull Thru (1)'!application</vt:lpstr>
      <vt:lpstr>'Sigma 5 Feed With Pull Thru (2)'!application</vt:lpstr>
      <vt:lpstr>Time!application</vt:lpstr>
      <vt:lpstr>Time2!application</vt:lpstr>
      <vt:lpstr>Time3!application</vt:lpstr>
      <vt:lpstr>Time4!application</vt:lpstr>
      <vt:lpstr>Time5!application</vt:lpstr>
      <vt:lpstr>Time6!application</vt:lpstr>
      <vt:lpstr>BackbendConfirm</vt:lpstr>
      <vt:lpstr>BackbendMax</vt:lpstr>
      <vt:lpstr>BackbendMin</vt:lpstr>
      <vt:lpstr>BackbendNCText</vt:lpstr>
      <vt:lpstr>BackbendNOText</vt:lpstr>
      <vt:lpstr>BackbendOKText</vt:lpstr>
      <vt:lpstr>BackplateType</vt:lpstr>
      <vt:lpstr>'Reel Drive'!BEARINGDIST</vt:lpstr>
      <vt:lpstr>'Reel Drive'!BPDIA</vt:lpstr>
      <vt:lpstr>'Reel Drive'!BPINT</vt:lpstr>
      <vt:lpstr>'Reel Drive'!BPREFLI</vt:lpstr>
      <vt:lpstr>'Reel Drive'!BPTHICK</vt:lpstr>
      <vt:lpstr>'Reel Drive'!BPWEIGHT</vt:lpstr>
      <vt:lpstr>'TD,DB,HD (1)'!brake_dist</vt:lpstr>
      <vt:lpstr>'TD,DB,HD (2)'!brake_dist</vt:lpstr>
      <vt:lpstr>'TD,DB,HD (3)'!brake_dist</vt:lpstr>
      <vt:lpstr>'TD,DB,HD (4)'!brake_dist</vt:lpstr>
      <vt:lpstr>'TD,DB,HD (1)'!brake_paddia</vt:lpstr>
      <vt:lpstr>'TD,DB,HD (2)'!brake_paddia</vt:lpstr>
      <vt:lpstr>'TD,DB,HD (3)'!brake_paddia</vt:lpstr>
      <vt:lpstr>'TD,DB,HD (4)'!brake_paddia</vt:lpstr>
      <vt:lpstr>'TD,DB,HD (1)'!brake_qty</vt:lpstr>
      <vt:lpstr>'TD,DB,HD (2)'!brake_qty</vt:lpstr>
      <vt:lpstr>'TD,DB,HD (3)'!brake_qty</vt:lpstr>
      <vt:lpstr>'TD,DB,HD (4)'!brake_qty</vt:lpstr>
      <vt:lpstr>CalcDate</vt:lpstr>
      <vt:lpstr>'11 Roll Str. Backbend (1)'!cent_dist</vt:lpstr>
      <vt:lpstr>'11 Roll Str. Backbend (2)'!cent_dist</vt:lpstr>
      <vt:lpstr>'11 Roll Str. Backbend (3)'!cent_dist</vt:lpstr>
      <vt:lpstr>'11 Roll Str. Backbend (4)'!cent_dist</vt:lpstr>
      <vt:lpstr>'7 Roll Str. Backbend (1)'!cent_dist</vt:lpstr>
      <vt:lpstr>'7 Roll Str. Backbend (2)'!cent_dist</vt:lpstr>
      <vt:lpstr>'7 Roll Str. Backbend (3)'!cent_dist</vt:lpstr>
      <vt:lpstr>'7 Roll Str. Backbend (4)'!cent_dist</vt:lpstr>
      <vt:lpstr>'9 Roll Str. Backbend (1)'!cent_dist</vt:lpstr>
      <vt:lpstr>'9 Roll Str. Backbend (2)'!cent_dist</vt:lpstr>
      <vt:lpstr>'9 Roll Str. Backbend (3)'!cent_dist</vt:lpstr>
      <vt:lpstr>'9 Roll Str. Backbend (4)'!cent_dist</vt:lpstr>
      <vt:lpstr>'Str. Utility (1)'!cent_dist</vt:lpstr>
      <vt:lpstr>'Str. Utility (2)'!cent_dist</vt:lpstr>
      <vt:lpstr>'Str. Utility (3)'!cent_dist</vt:lpstr>
      <vt:lpstr>'Str. Utility (4)'!cent_dist</vt:lpstr>
      <vt:lpstr>'Reel Drive'!CHAINRATIO</vt:lpstr>
      <vt:lpstr>'Sigma 5 Feed With Pull Thru (1)'!CNT.DIS</vt:lpstr>
      <vt:lpstr>'Sigma 5 Feed With Pull Thru (2)'!CNT.DIS</vt:lpstr>
      <vt:lpstr>'Str. Utility (1)'!coil_id</vt:lpstr>
      <vt:lpstr>'Str. Utility (2)'!coil_id</vt:lpstr>
      <vt:lpstr>'Str. Utility (3)'!coil_id</vt:lpstr>
      <vt:lpstr>'Str. Utility (4)'!coil_id</vt:lpstr>
      <vt:lpstr>'TD,DB,HD (1)'!coil_ID</vt:lpstr>
      <vt:lpstr>'TD,DB,HD (2)'!coil_ID</vt:lpstr>
      <vt:lpstr>'TD,DB,HD (3)'!coil_ID</vt:lpstr>
      <vt:lpstr>'TD,DB,HD (4)'!coil_ID</vt:lpstr>
      <vt:lpstr>'Str. Utility (1)'!coil_od</vt:lpstr>
      <vt:lpstr>'Str. Utility (2)'!coil_od</vt:lpstr>
      <vt:lpstr>'Str. Utility (3)'!coil_od</vt:lpstr>
      <vt:lpstr>'Str. Utility (4)'!coil_od</vt:lpstr>
      <vt:lpstr>'TD,DB,HD (1)'!coil_od</vt:lpstr>
      <vt:lpstr>'TD,DB,HD (2)'!coil_od</vt:lpstr>
      <vt:lpstr>'TD,DB,HD (3)'!coil_od</vt:lpstr>
      <vt:lpstr>'TD,DB,HD (4)'!coil_od</vt:lpstr>
      <vt:lpstr>'Str. Utility (1)'!Coil_weight</vt:lpstr>
      <vt:lpstr>'Str. Utility (2)'!Coil_weight</vt:lpstr>
      <vt:lpstr>'Str. Utility (3)'!Coil_weight</vt:lpstr>
      <vt:lpstr>'Str. Utility (4)'!Coil_weight</vt:lpstr>
      <vt:lpstr>'Str. Utility (1)'!coil_width</vt:lpstr>
      <vt:lpstr>'Str. Utility (2)'!coil_width</vt:lpstr>
      <vt:lpstr>'Str. Utility (3)'!coil_width</vt:lpstr>
      <vt:lpstr>'Str. Utility (4)'!coil_width</vt:lpstr>
      <vt:lpstr>'Reel Drive'!COILDENS</vt:lpstr>
      <vt:lpstr>'Reel Drive'!COILID</vt:lpstr>
      <vt:lpstr>RFQ!CoilID</vt:lpstr>
      <vt:lpstr>CoilID_1</vt:lpstr>
      <vt:lpstr>CoilID_2</vt:lpstr>
      <vt:lpstr>CoilID_3</vt:lpstr>
      <vt:lpstr>CoilID_4</vt:lpstr>
      <vt:lpstr>'Reel Drive'!COILINT</vt:lpstr>
      <vt:lpstr>RFQ!CoilLoading</vt:lpstr>
      <vt:lpstr>'Reel Drive'!COILOD</vt:lpstr>
      <vt:lpstr>CoilOD_1</vt:lpstr>
      <vt:lpstr>CoilOD_2</vt:lpstr>
      <vt:lpstr>CoilOD_3</vt:lpstr>
      <vt:lpstr>CoilOD_4</vt:lpstr>
      <vt:lpstr>'Reel Drive'!COILREFLI</vt:lpstr>
      <vt:lpstr>'Reel Drive'!COILWEIGHT</vt:lpstr>
      <vt:lpstr>CoilWeight_1</vt:lpstr>
      <vt:lpstr>CoilWeight_2</vt:lpstr>
      <vt:lpstr>CoilWeight_3</vt:lpstr>
      <vt:lpstr>CoilWeight_4</vt:lpstr>
      <vt:lpstr>'Reel Drive'!COILWIDTH</vt:lpstr>
      <vt:lpstr>CoilWidth_1</vt:lpstr>
      <vt:lpstr>CoilWidth_2</vt:lpstr>
      <vt:lpstr>CoilWidth_3</vt:lpstr>
      <vt:lpstr>CoilWidth_4</vt:lpstr>
      <vt:lpstr>RFQ!Company</vt:lpstr>
      <vt:lpstr>ControlsLevel</vt:lpstr>
      <vt:lpstr>RFQ!CosmeticMaterial</vt:lpstr>
      <vt:lpstr>'Str. Utility (1)'!creep</vt:lpstr>
      <vt:lpstr>'Str. Utility (2)'!creep</vt:lpstr>
      <vt:lpstr>'Str. Utility (3)'!creep</vt:lpstr>
      <vt:lpstr>'Str. Utility (4)'!creep</vt:lpstr>
      <vt:lpstr>RFQ!CTLSection</vt:lpstr>
      <vt:lpstr>'11 Roll Str. Backbend (1)'!curv_at_yld</vt:lpstr>
      <vt:lpstr>'11 Roll Str. Backbend (2)'!curv_at_yld</vt:lpstr>
      <vt:lpstr>'11 Roll Str. Backbend (3)'!curv_at_yld</vt:lpstr>
      <vt:lpstr>'11 Roll Str. Backbend (4)'!curv_at_yld</vt:lpstr>
      <vt:lpstr>'7 Roll Str. Backbend (1)'!curv_at_yld</vt:lpstr>
      <vt:lpstr>'7 Roll Str. Backbend (2)'!curv_at_yld</vt:lpstr>
      <vt:lpstr>'7 Roll Str. Backbend (3)'!curv_at_yld</vt:lpstr>
      <vt:lpstr>'7 Roll Str. Backbend (4)'!curv_at_yld</vt:lpstr>
      <vt:lpstr>'9 Roll Str. Backbend (1)'!curv_at_yld</vt:lpstr>
      <vt:lpstr>'9 Roll Str. Backbend (2)'!curv_at_yld</vt:lpstr>
      <vt:lpstr>'9 Roll Str. Backbend (3)'!curv_at_yld</vt:lpstr>
      <vt:lpstr>'9 Roll Str. Backbend (4)'!curv_at_yld</vt:lpstr>
      <vt:lpstr>'Str. Utility (1)'!curv_at_yld</vt:lpstr>
      <vt:lpstr>'Str. Utility (2)'!curv_at_yld</vt:lpstr>
      <vt:lpstr>'Str. Utility (3)'!curv_at_yld</vt:lpstr>
      <vt:lpstr>'Str. Utility (4)'!curv_at_yld</vt:lpstr>
      <vt:lpstr>Customer</vt:lpstr>
      <vt:lpstr>'TD,DB,HD (1)'!cw_weight</vt:lpstr>
      <vt:lpstr>'TD,DB,HD (2)'!cw_weight</vt:lpstr>
      <vt:lpstr>'TD,DB,HD (3)'!cw_weight</vt:lpstr>
      <vt:lpstr>'TD,DB,HD (4)'!cw_weight</vt:lpstr>
      <vt:lpstr>'Allen Bradley MPL - Feed (1)'!CYCTM</vt:lpstr>
      <vt:lpstr>'Allen Bradley MPL - Feed (2)'!CYCTM</vt:lpstr>
      <vt:lpstr>Regen!CYCTM</vt:lpstr>
      <vt:lpstr>Regen2!CYCTM</vt:lpstr>
      <vt:lpstr>Regen3!CYCTM</vt:lpstr>
      <vt:lpstr>Regen4!CYCTM</vt:lpstr>
      <vt:lpstr>Regen5!CYCTM</vt:lpstr>
      <vt:lpstr>Regen6!CYCTM</vt:lpstr>
      <vt:lpstr>'Sigma 5 Feed (1)'!CYCTM</vt:lpstr>
      <vt:lpstr>'Sigma 5 Feed (2)'!CYCTM</vt:lpstr>
      <vt:lpstr>'Sigma 5 Feed With Pull Thru (1)'!CYCTM</vt:lpstr>
      <vt:lpstr>'Sigma 5 Feed With Pull Thru (2)'!CYCTM</vt:lpstr>
      <vt:lpstr>Time!CYCTM</vt:lpstr>
      <vt:lpstr>Time2!CYCTM</vt:lpstr>
      <vt:lpstr>Time3!CYCTM</vt:lpstr>
      <vt:lpstr>Time4!CYCTM</vt:lpstr>
      <vt:lpstr>Time5!CYCTM</vt:lpstr>
      <vt:lpstr>Time6!CYCTM</vt:lpstr>
      <vt:lpstr>'Allen Bradley MPL - Feed (1)'!CYCTM_2</vt:lpstr>
      <vt:lpstr>'Allen Bradley MPL - Feed (2)'!CYCTM_2</vt:lpstr>
      <vt:lpstr>'Sigma 5 Feed (1)'!CYCTM_2</vt:lpstr>
      <vt:lpstr>'Sigma 5 Feed (2)'!CYCTM_2</vt:lpstr>
      <vt:lpstr>'Sigma 5 Feed With Pull Thru (1)'!CYCTM_2</vt:lpstr>
      <vt:lpstr>'Sigma 5 Feed With Pull Thru (2)'!CYCTM_2</vt:lpstr>
      <vt:lpstr>Time!CYCTM_2</vt:lpstr>
      <vt:lpstr>Time2!CYCTM_2</vt:lpstr>
      <vt:lpstr>Time3!CYCTM_2</vt:lpstr>
      <vt:lpstr>Time4!CYCTM_2</vt:lpstr>
      <vt:lpstr>Time5!CYCTM_2</vt:lpstr>
      <vt:lpstr>Time6!CYCTM_2</vt:lpstr>
      <vt:lpstr>'TD,DB,HD (1)'!cyl_bore</vt:lpstr>
      <vt:lpstr>'TD,DB,HD (2)'!cyl_bore</vt:lpstr>
      <vt:lpstr>'TD,DB,HD (3)'!cyl_bore</vt:lpstr>
      <vt:lpstr>'TD,DB,HD (4)'!cyl_bore</vt:lpstr>
      <vt:lpstr>'TD,DB,HD (1)'!cyl_rod</vt:lpstr>
      <vt:lpstr>'TD,DB,HD (2)'!cyl_rod</vt:lpstr>
      <vt:lpstr>'TD,DB,HD (3)'!cyl_rod</vt:lpstr>
      <vt:lpstr>'TD,DB,HD (4)'!cyl_rod</vt:lpstr>
      <vt:lpstr>'TD,DB,HD (1)'!decel</vt:lpstr>
      <vt:lpstr>'TD,DB,HD (2)'!decel</vt:lpstr>
      <vt:lpstr>'TD,DB,HD (3)'!decel</vt:lpstr>
      <vt:lpstr>'TD,DB,HD (4)'!decel</vt:lpstr>
      <vt:lpstr>'Allen Bradley MPL - Feed (1)'!DecTm</vt:lpstr>
      <vt:lpstr>'Allen Bradley MPL - Feed (2)'!DecTm</vt:lpstr>
      <vt:lpstr>Regen!DecTm</vt:lpstr>
      <vt:lpstr>Regen2!DecTm</vt:lpstr>
      <vt:lpstr>Regen3!DecTm</vt:lpstr>
      <vt:lpstr>Regen4!DecTm</vt:lpstr>
      <vt:lpstr>Regen5!DecTm</vt:lpstr>
      <vt:lpstr>Regen6!DecTm</vt:lpstr>
      <vt:lpstr>'Sigma 5 Feed (1)'!DecTm</vt:lpstr>
      <vt:lpstr>'Sigma 5 Feed (2)'!DecTm</vt:lpstr>
      <vt:lpstr>'Sigma 5 Feed With Pull Thru (1)'!DecTm</vt:lpstr>
      <vt:lpstr>'Sigma 5 Feed With Pull Thru (2)'!DecTm</vt:lpstr>
      <vt:lpstr>Time!DecTm</vt:lpstr>
      <vt:lpstr>Time2!DecTm</vt:lpstr>
      <vt:lpstr>Time3!DecTm</vt:lpstr>
      <vt:lpstr>Time4!DecTm</vt:lpstr>
      <vt:lpstr>Time5!DecTm</vt:lpstr>
      <vt:lpstr>Time6!DecTm</vt:lpstr>
      <vt:lpstr>'TD,DB,HD (1)'!disp_endwheel</vt:lpstr>
      <vt:lpstr>'TD,DB,HD (2)'!disp_endwheel</vt:lpstr>
      <vt:lpstr>'TD,DB,HD (3)'!disp_endwheel</vt:lpstr>
      <vt:lpstr>'TD,DB,HD (4)'!disp_endwheel</vt:lpstr>
      <vt:lpstr>'TD,DB,HD (1)'!disp_reel</vt:lpstr>
      <vt:lpstr>'TD,DB,HD (2)'!disp_reel</vt:lpstr>
      <vt:lpstr>'TD,DB,HD (3)'!disp_reel</vt:lpstr>
      <vt:lpstr>'TD,DB,HD (4)'!disp_reel</vt:lpstr>
      <vt:lpstr>DriveFamily</vt:lpstr>
      <vt:lpstr>DriveKey</vt:lpstr>
      <vt:lpstr>'Allen Bradley MPL - Feed (1)'!DWLTM</vt:lpstr>
      <vt:lpstr>'Allen Bradley MPL - Feed (2)'!DWLTM</vt:lpstr>
      <vt:lpstr>'Sigma 5 Feed (1)'!DWLTM</vt:lpstr>
      <vt:lpstr>'Sigma 5 Feed (2)'!DWLTM</vt:lpstr>
      <vt:lpstr>'Sigma 5 Feed With Pull Thru (1)'!DWLTM</vt:lpstr>
      <vt:lpstr>'Sigma 5 Feed With Pull Thru (2)'!DWLTM</vt:lpstr>
      <vt:lpstr>Time!DWLTM</vt:lpstr>
      <vt:lpstr>Time2!DWLTM</vt:lpstr>
      <vt:lpstr>Time3!DWLTM</vt:lpstr>
      <vt:lpstr>Time4!DWLTM</vt:lpstr>
      <vt:lpstr>Time5!DWLTM</vt:lpstr>
      <vt:lpstr>Time6!DWLTM</vt:lpstr>
      <vt:lpstr>'Allen Bradley MPL - Feed (1)'!DWLTM_2</vt:lpstr>
      <vt:lpstr>'Allen Bradley MPL - Feed (2)'!DWLTM_2</vt:lpstr>
      <vt:lpstr>'Sigma 5 Feed (1)'!DWLTM_2</vt:lpstr>
      <vt:lpstr>'Sigma 5 Feed (2)'!DWLTM_2</vt:lpstr>
      <vt:lpstr>'Sigma 5 Feed With Pull Thru (1)'!DWLTM_2</vt:lpstr>
      <vt:lpstr>'Sigma 5 Feed With Pull Thru (2)'!DWLTM_2</vt:lpstr>
      <vt:lpstr>Time!DWLTM_2</vt:lpstr>
      <vt:lpstr>Time2!DWLTM_2</vt:lpstr>
      <vt:lpstr>Time3!DWLTM_2</vt:lpstr>
      <vt:lpstr>Time4!DWLTM_2</vt:lpstr>
      <vt:lpstr>Time5!DWLTM_2</vt:lpstr>
      <vt:lpstr>Time6!DWLTM_2</vt:lpstr>
      <vt:lpstr>'Allen Bradley MPL - Feed (1)'!Ec</vt:lpstr>
      <vt:lpstr>'Allen Bradley MPL - Feed (2)'!Ec</vt:lpstr>
      <vt:lpstr>Regen!Ec</vt:lpstr>
      <vt:lpstr>Regen2!Ec</vt:lpstr>
      <vt:lpstr>Regen3!Ec</vt:lpstr>
      <vt:lpstr>Regen4!Ec</vt:lpstr>
      <vt:lpstr>Regen5!Ec</vt:lpstr>
      <vt:lpstr>Regen6!Ec</vt:lpstr>
      <vt:lpstr>'Sigma 5 Feed (1)'!Ec</vt:lpstr>
      <vt:lpstr>'Sigma 5 Feed (2)'!Ec</vt:lpstr>
      <vt:lpstr>'Sigma 5 Feed With Pull Thru (1)'!Ec</vt:lpstr>
      <vt:lpstr>'Sigma 5 Feed With Pull Thru (2)'!Ec</vt:lpstr>
      <vt:lpstr>Time!Ec</vt:lpstr>
      <vt:lpstr>Time2!Ec</vt:lpstr>
      <vt:lpstr>Time3!Ec</vt:lpstr>
      <vt:lpstr>Time4!Ec</vt:lpstr>
      <vt:lpstr>Time5!Ec</vt:lpstr>
      <vt:lpstr>Time6!Ec</vt:lpstr>
      <vt:lpstr>'Allen Bradley MPL - Feed (1)'!Ek</vt:lpstr>
      <vt:lpstr>'Allen Bradley MPL - Feed (2)'!Ek</vt:lpstr>
      <vt:lpstr>Regen!Ek</vt:lpstr>
      <vt:lpstr>Regen2!Ek</vt:lpstr>
      <vt:lpstr>Regen3!Ek</vt:lpstr>
      <vt:lpstr>Regen4!Ek</vt:lpstr>
      <vt:lpstr>Regen5!Ek</vt:lpstr>
      <vt:lpstr>Regen6!Ek</vt:lpstr>
      <vt:lpstr>'Sigma 5 Feed (1)'!Ek</vt:lpstr>
      <vt:lpstr>'Sigma 5 Feed (2)'!Ek</vt:lpstr>
      <vt:lpstr>'Sigma 5 Feed With Pull Thru (1)'!Ek</vt:lpstr>
      <vt:lpstr>'Sigma 5 Feed With Pull Thru (2)'!Ek</vt:lpstr>
      <vt:lpstr>Time!Ek</vt:lpstr>
      <vt:lpstr>Time2!Ek</vt:lpstr>
      <vt:lpstr>Time3!Ek</vt:lpstr>
      <vt:lpstr>Time4!Ek</vt:lpstr>
      <vt:lpstr>Time5!Ek</vt:lpstr>
      <vt:lpstr>Time6!Ek</vt:lpstr>
      <vt:lpstr>'Allen Bradley MPL - Feed (1)'!Em</vt:lpstr>
      <vt:lpstr>'Allen Bradley MPL - Feed (2)'!Em</vt:lpstr>
      <vt:lpstr>Regen!Em</vt:lpstr>
      <vt:lpstr>Regen2!Em</vt:lpstr>
      <vt:lpstr>Regen3!Em</vt:lpstr>
      <vt:lpstr>Regen4!Em</vt:lpstr>
      <vt:lpstr>Regen5!Em</vt:lpstr>
      <vt:lpstr>Regen6!Em</vt:lpstr>
      <vt:lpstr>'Sigma 5 Feed (1)'!Em</vt:lpstr>
      <vt:lpstr>'Sigma 5 Feed (2)'!Em</vt:lpstr>
      <vt:lpstr>'Sigma 5 Feed With Pull Thru (1)'!Em</vt:lpstr>
      <vt:lpstr>'Sigma 5 Feed With Pull Thru (2)'!Em</vt:lpstr>
      <vt:lpstr>Time!Em</vt:lpstr>
      <vt:lpstr>Time2!Em</vt:lpstr>
      <vt:lpstr>Time3!Em</vt:lpstr>
      <vt:lpstr>Time4!Em</vt:lpstr>
      <vt:lpstr>Time5!Em</vt:lpstr>
      <vt:lpstr>Time6!Em</vt:lpstr>
      <vt:lpstr>'Allen Bradley MPL - Feed (1)'!Es</vt:lpstr>
      <vt:lpstr>'Allen Bradley MPL - Feed (2)'!Es</vt:lpstr>
      <vt:lpstr>Regen!Es</vt:lpstr>
      <vt:lpstr>Regen2!Es</vt:lpstr>
      <vt:lpstr>Regen3!Es</vt:lpstr>
      <vt:lpstr>Regen4!Es</vt:lpstr>
      <vt:lpstr>Regen5!Es</vt:lpstr>
      <vt:lpstr>Regen6!Es</vt:lpstr>
      <vt:lpstr>'Sigma 5 Feed (1)'!Es</vt:lpstr>
      <vt:lpstr>'Sigma 5 Feed (2)'!Es</vt:lpstr>
      <vt:lpstr>'Sigma 5 Feed With Pull Thru (1)'!Es</vt:lpstr>
      <vt:lpstr>'Sigma 5 Feed With Pull Thru (2)'!Es</vt:lpstr>
      <vt:lpstr>Time!Es</vt:lpstr>
      <vt:lpstr>Time2!Es</vt:lpstr>
      <vt:lpstr>Time3!Es</vt:lpstr>
      <vt:lpstr>Time4!Es</vt:lpstr>
      <vt:lpstr>Time5!Es</vt:lpstr>
      <vt:lpstr>Time6!Es</vt:lpstr>
      <vt:lpstr>'Allen Bradley MPL - Feed (1)'!FA</vt:lpstr>
      <vt:lpstr>'Allen Bradley MPL - Feed (2)'!FA</vt:lpstr>
      <vt:lpstr>'Sigma 5 Feed (1)'!FA</vt:lpstr>
      <vt:lpstr>'Sigma 5 Feed (2)'!FA</vt:lpstr>
      <vt:lpstr>'Sigma 5 Feed With Pull Thru (1)'!FA</vt:lpstr>
      <vt:lpstr>'Sigma 5 Feed With Pull Thru (2)'!FA</vt:lpstr>
      <vt:lpstr>Time!FA</vt:lpstr>
      <vt:lpstr>Time2!FA</vt:lpstr>
      <vt:lpstr>Time3!FA</vt:lpstr>
      <vt:lpstr>Time4!FA</vt:lpstr>
      <vt:lpstr>Time5!FA</vt:lpstr>
      <vt:lpstr>Time6!FA</vt:lpstr>
      <vt:lpstr>'Allen Bradley MPL - Feed (1)'!FA_2</vt:lpstr>
      <vt:lpstr>'Allen Bradley MPL - Feed (2)'!FA_2</vt:lpstr>
      <vt:lpstr>'Sigma 5 Feed (1)'!FA_2</vt:lpstr>
      <vt:lpstr>'Sigma 5 Feed (2)'!FA_2</vt:lpstr>
      <vt:lpstr>'Sigma 5 Feed With Pull Thru (1)'!FA_2</vt:lpstr>
      <vt:lpstr>'Sigma 5 Feed With Pull Thru (2)'!FA_2</vt:lpstr>
      <vt:lpstr>Time!FA_2</vt:lpstr>
      <vt:lpstr>Time2!FA_2</vt:lpstr>
      <vt:lpstr>Time3!FA_2</vt:lpstr>
      <vt:lpstr>Time4!FA_2</vt:lpstr>
      <vt:lpstr>Time5!FA_2</vt:lpstr>
      <vt:lpstr>Time6!FA_2</vt:lpstr>
      <vt:lpstr>FeedControls</vt:lpstr>
      <vt:lpstr>RFQ!FeedDirection</vt:lpstr>
      <vt:lpstr>FeedDirection</vt:lpstr>
      <vt:lpstr>'Str. Utility (1)'!fpm</vt:lpstr>
      <vt:lpstr>'Str. Utility (2)'!fpm</vt:lpstr>
      <vt:lpstr>'Str. Utility (3)'!fpm</vt:lpstr>
      <vt:lpstr>'Str. Utility (4)'!fpm</vt:lpstr>
      <vt:lpstr>FPMBuffer</vt:lpstr>
      <vt:lpstr>RFQ!FPMRange</vt:lpstr>
      <vt:lpstr>'TD,DB,HD (1)'!friction</vt:lpstr>
      <vt:lpstr>'TD,DB,HD (2)'!friction</vt:lpstr>
      <vt:lpstr>'TD,DB,HD (3)'!friction</vt:lpstr>
      <vt:lpstr>'TD,DB,HD (4)'!friction</vt:lpstr>
      <vt:lpstr>'Reel Drive'!FRICTIONEMPTY</vt:lpstr>
      <vt:lpstr>'Reel Drive'!FRICTIONFULL</vt:lpstr>
      <vt:lpstr>'Allen Bradley MPL - Feed (1)'!FRICTQ</vt:lpstr>
      <vt:lpstr>'Allen Bradley MPL - Feed (2)'!FRICTQ</vt:lpstr>
      <vt:lpstr>'Sigma 5 Feed (1)'!FRICTQ</vt:lpstr>
      <vt:lpstr>'Sigma 5 Feed (2)'!FRICTQ</vt:lpstr>
      <vt:lpstr>'Sigma 5 Feed With Pull Thru (1)'!FRICTQ</vt:lpstr>
      <vt:lpstr>'Sigma 5 Feed With Pull Thru (2)'!FRICTQ</vt:lpstr>
      <vt:lpstr>Time!FRICTQ</vt:lpstr>
      <vt:lpstr>Time2!FRICTQ</vt:lpstr>
      <vt:lpstr>Time3!FRICTQ</vt:lpstr>
      <vt:lpstr>Time4!FRICTQ</vt:lpstr>
      <vt:lpstr>Time5!FRICTQ</vt:lpstr>
      <vt:lpstr>Time6!FRICTQ</vt:lpstr>
      <vt:lpstr>'Reel Drive'!FRONTBRGDIA</vt:lpstr>
      <vt:lpstr>'TD,DB,HD (1)'!holddown_assy</vt:lpstr>
      <vt:lpstr>'TD,DB,HD (2)'!holddown_assy</vt:lpstr>
      <vt:lpstr>'TD,DB,HD (3)'!holddown_assy</vt:lpstr>
      <vt:lpstr>'TD,DB,HD (4)'!holddown_assy</vt:lpstr>
      <vt:lpstr>'TD,DB,HD (1)'!holddown_cylinder</vt:lpstr>
      <vt:lpstr>'TD,DB,HD (2)'!holddown_cylinder</vt:lpstr>
      <vt:lpstr>'TD,DB,HD (3)'!holddown_cylinder</vt:lpstr>
      <vt:lpstr>'TD,DB,HD (4)'!holddown_cylinder</vt:lpstr>
      <vt:lpstr>'TD,DB,HD (1)'!holddown_pressure</vt:lpstr>
      <vt:lpstr>'TD,DB,HD (2)'!holddown_pressure</vt:lpstr>
      <vt:lpstr>'TD,DB,HD (3)'!holddown_pressure</vt:lpstr>
      <vt:lpstr>'TD,DB,HD (4)'!holddown_pressure</vt:lpstr>
      <vt:lpstr>HolddownFamily</vt:lpstr>
      <vt:lpstr>HolddownMatrixKey</vt:lpstr>
      <vt:lpstr>'Reel Drive'!Horsepower</vt:lpstr>
      <vt:lpstr>'Str. Utility (1)'!HP</vt:lpstr>
      <vt:lpstr>'Str. Utility (2)'!HP</vt:lpstr>
      <vt:lpstr>'Str. Utility (3)'!HP</vt:lpstr>
      <vt:lpstr>'Str. Utility (4)'!HP</vt:lpstr>
      <vt:lpstr>'Reel Drive'!HPEMPTY</vt:lpstr>
      <vt:lpstr>'Reel Drive'!HPFULL</vt:lpstr>
      <vt:lpstr>'TD,DB,HD (1)'!hydthd</vt:lpstr>
      <vt:lpstr>'TD,DB,HD (2)'!hydthd</vt:lpstr>
      <vt:lpstr>'TD,DB,HD (3)'!hydthd</vt:lpstr>
      <vt:lpstr>'TD,DB,HD (4)'!hydthd</vt:lpstr>
      <vt:lpstr>'Allen Bradley MPL - Feed (1)'!INCR</vt:lpstr>
      <vt:lpstr>'Allen Bradley MPL - Feed (2)'!INCR</vt:lpstr>
      <vt:lpstr>'Sigma 5 Feed (1)'!INCR</vt:lpstr>
      <vt:lpstr>'Sigma 5 Feed (2)'!INCR</vt:lpstr>
      <vt:lpstr>'Sigma 5 Feed With Pull Thru (1)'!INCR</vt:lpstr>
      <vt:lpstr>'Sigma 5 Feed With Pull Thru (2)'!INCR</vt:lpstr>
      <vt:lpstr>Time!INCR</vt:lpstr>
      <vt:lpstr>Time2!INCR</vt:lpstr>
      <vt:lpstr>Time3!INCR</vt:lpstr>
      <vt:lpstr>Time4!INCR</vt:lpstr>
      <vt:lpstr>Time5!INCR</vt:lpstr>
      <vt:lpstr>Time6!INCR</vt:lpstr>
      <vt:lpstr>'Str. Utility (1)'!jack_force</vt:lpstr>
      <vt:lpstr>'Str. Utility (2)'!jack_force</vt:lpstr>
      <vt:lpstr>'Str. Utility (3)'!jack_force</vt:lpstr>
      <vt:lpstr>'Str. Utility (4)'!jack_force</vt:lpstr>
      <vt:lpstr>'Sigma 5 Feed With Pull Thru (1)'!K_CONST</vt:lpstr>
      <vt:lpstr>'Sigma 5 Feed With Pull Thru (2)'!K_CONST</vt:lpstr>
      <vt:lpstr>LightGauge</vt:lpstr>
      <vt:lpstr>RFQ!LineApplication</vt:lpstr>
      <vt:lpstr>RFQ!LineType</vt:lpstr>
      <vt:lpstr>ListBrakeType</vt:lpstr>
      <vt:lpstr>ListControls</vt:lpstr>
      <vt:lpstr>ListHolddown</vt:lpstr>
      <vt:lpstr>RFQ!ListLineApplication</vt:lpstr>
      <vt:lpstr>ListMaterial</vt:lpstr>
      <vt:lpstr>ListStrBackbend</vt:lpstr>
      <vt:lpstr>ListTypeOfLine</vt:lpstr>
      <vt:lpstr>LookupABFeed</vt:lpstr>
      <vt:lpstr>LookupApplication</vt:lpstr>
      <vt:lpstr>LookupBrakeQty</vt:lpstr>
      <vt:lpstr>LookupBrakeType</vt:lpstr>
      <vt:lpstr>LookupControls</vt:lpstr>
      <vt:lpstr>LookupFeedType</vt:lpstr>
      <vt:lpstr>LookupHolddown</vt:lpstr>
      <vt:lpstr>'Allen Bradley MPL - Feed (1)'!LookupInertia</vt:lpstr>
      <vt:lpstr>'Allen Bradley MPL - Feed (2)'!LookupInertia</vt:lpstr>
      <vt:lpstr>'Sigma 5 Feed (1)'!LookupInertia</vt:lpstr>
      <vt:lpstr>'Sigma 5 Feed (2)'!LookupInertia</vt:lpstr>
      <vt:lpstr>'Sigma 5 Feed With Pull Thru (1)'!LookupInertia</vt:lpstr>
      <vt:lpstr>'Sigma 5 Feed With Pull Thru (2)'!LookupInertia</vt:lpstr>
      <vt:lpstr>LookupMaterial</vt:lpstr>
      <vt:lpstr>'TD,DB,HD (1)'!LookupPressRequired</vt:lpstr>
      <vt:lpstr>'TD,DB,HD (2)'!LookupPressRequired</vt:lpstr>
      <vt:lpstr>'TD,DB,HD (3)'!LookupPressRequired</vt:lpstr>
      <vt:lpstr>'TD,DB,HD (4)'!LookupPressRequired</vt:lpstr>
      <vt:lpstr>LookupPTStrRollers</vt:lpstr>
      <vt:lpstr>LookupReelDrive</vt:lpstr>
      <vt:lpstr>LookupReels</vt:lpstr>
      <vt:lpstr>LookupSigma5Feed</vt:lpstr>
      <vt:lpstr>LookupSigma5FeedPT</vt:lpstr>
      <vt:lpstr>LookupSPinch</vt:lpstr>
      <vt:lpstr>LookupStrBackbend</vt:lpstr>
      <vt:lpstr>LookupStrModel</vt:lpstr>
      <vt:lpstr>LookupStrRollers</vt:lpstr>
      <vt:lpstr>LookupTypeOfLine</vt:lpstr>
      <vt:lpstr>LookupYesNo</vt:lpstr>
      <vt:lpstr>LookupYN</vt:lpstr>
      <vt:lpstr>'Allen Bradley MPL - Feed (1)'!LOOPTQ</vt:lpstr>
      <vt:lpstr>'Allen Bradley MPL - Feed (2)'!LOOPTQ</vt:lpstr>
      <vt:lpstr>'Sigma 5 Feed (1)'!LOOPTQ</vt:lpstr>
      <vt:lpstr>'Sigma 5 Feed (2)'!LOOPTQ</vt:lpstr>
      <vt:lpstr>'Sigma 5 Feed With Pull Thru (1)'!LOOPTQ</vt:lpstr>
      <vt:lpstr>'Sigma 5 Feed With Pull Thru (2)'!LOOPTQ</vt:lpstr>
      <vt:lpstr>Time!LOOPTQ</vt:lpstr>
      <vt:lpstr>Time2!LOOPTQ</vt:lpstr>
      <vt:lpstr>Time3!LOOPTQ</vt:lpstr>
      <vt:lpstr>Time4!LOOPTQ</vt:lpstr>
      <vt:lpstr>Time5!LOOPTQ</vt:lpstr>
      <vt:lpstr>Time6!LOOPTQ</vt:lpstr>
      <vt:lpstr>'Allen Bradley MPL - Feed (1)'!LostWatts</vt:lpstr>
      <vt:lpstr>'Allen Bradley MPL - Feed (2)'!LostWatts</vt:lpstr>
      <vt:lpstr>Regen!LostWatts</vt:lpstr>
      <vt:lpstr>Regen2!LostWatts</vt:lpstr>
      <vt:lpstr>Regen3!LostWatts</vt:lpstr>
      <vt:lpstr>Regen4!LostWatts</vt:lpstr>
      <vt:lpstr>Regen5!LostWatts</vt:lpstr>
      <vt:lpstr>Regen6!LostWatts</vt:lpstr>
      <vt:lpstr>'Sigma 5 Feed (1)'!LostWatts</vt:lpstr>
      <vt:lpstr>'Sigma 5 Feed (2)'!LostWatts</vt:lpstr>
      <vt:lpstr>'Sigma 5 Feed With Pull Thru (1)'!LostWatts</vt:lpstr>
      <vt:lpstr>'Sigma 5 Feed With Pull Thru (2)'!LostWatts</vt:lpstr>
      <vt:lpstr>Time!LostWatts</vt:lpstr>
      <vt:lpstr>Time2!LostWatts</vt:lpstr>
      <vt:lpstr>Time3!LostWatts</vt:lpstr>
      <vt:lpstr>Time4!LostWatts</vt:lpstr>
      <vt:lpstr>Time5!LostWatts</vt:lpstr>
      <vt:lpstr>Time6!LostWatts</vt:lpstr>
      <vt:lpstr>'TD,DB,HD (1)'!M</vt:lpstr>
      <vt:lpstr>'TD,DB,HD (2)'!M</vt:lpstr>
      <vt:lpstr>'TD,DB,HD (3)'!M</vt:lpstr>
      <vt:lpstr>'TD,DB,HD (4)'!M</vt:lpstr>
      <vt:lpstr>MacrosEnabled</vt:lpstr>
      <vt:lpstr>'Reel Drive'!MANDIA</vt:lpstr>
      <vt:lpstr>'Reel Drive'!MANINT</vt:lpstr>
      <vt:lpstr>'Reel Drive'!MANLEN</vt:lpstr>
      <vt:lpstr>'Reel Drive'!MANREFLI</vt:lpstr>
      <vt:lpstr>'Reel Drive'!MANWIEGHT</vt:lpstr>
      <vt:lpstr>RFQ!Mat_1</vt:lpstr>
      <vt:lpstr>RFQ!Mat_2</vt:lpstr>
      <vt:lpstr>RFQ!Mat_3</vt:lpstr>
      <vt:lpstr>RFQ!Mat_4</vt:lpstr>
      <vt:lpstr>'Allen Bradley MPL - Feed (1)'!MATCH</vt:lpstr>
      <vt:lpstr>'Allen Bradley MPL - Feed (2)'!MATCH</vt:lpstr>
      <vt:lpstr>Regen!MATCH</vt:lpstr>
      <vt:lpstr>Regen2!MATCH</vt:lpstr>
      <vt:lpstr>Regen3!MATCH</vt:lpstr>
      <vt:lpstr>Regen4!MATCH</vt:lpstr>
      <vt:lpstr>Regen5!MATCH</vt:lpstr>
      <vt:lpstr>Regen6!MATCH</vt:lpstr>
      <vt:lpstr>'Sigma 5 Feed (1)'!MATCH</vt:lpstr>
      <vt:lpstr>'Sigma 5 Feed (2)'!MATCH</vt:lpstr>
      <vt:lpstr>'Sigma 5 Feed With Pull Thru (1)'!MATCH</vt:lpstr>
      <vt:lpstr>'Sigma 5 Feed With Pull Thru (2)'!MATCH</vt:lpstr>
      <vt:lpstr>Time!MATCH</vt:lpstr>
      <vt:lpstr>Time2!MATCH</vt:lpstr>
      <vt:lpstr>Time3!MATCH</vt:lpstr>
      <vt:lpstr>Time4!MATCH</vt:lpstr>
      <vt:lpstr>Time5!MATCH</vt:lpstr>
      <vt:lpstr>Time6!MATCH</vt:lpstr>
      <vt:lpstr>'Allen Bradley MPL - Feed (1)'!MatDensity</vt:lpstr>
      <vt:lpstr>'Allen Bradley MPL - Feed (2)'!MatDensity</vt:lpstr>
      <vt:lpstr>Inertia!MatDensity</vt:lpstr>
      <vt:lpstr>Inertia2!MatDensity</vt:lpstr>
      <vt:lpstr>Inertia3!MatDensity</vt:lpstr>
      <vt:lpstr>Inertia4!MatDensity</vt:lpstr>
      <vt:lpstr>Inertia5!MatDensity</vt:lpstr>
      <vt:lpstr>Inertia6!MatDensity</vt:lpstr>
      <vt:lpstr>'Sigma 5 Feed (1)'!MatDensity</vt:lpstr>
      <vt:lpstr>'Sigma 5 Feed (2)'!MatDensity</vt:lpstr>
      <vt:lpstr>'Sigma 5 Feed With Pull Thru (1)'!MatDensity</vt:lpstr>
      <vt:lpstr>'Sigma 5 Feed With Pull Thru (2)'!MatDensity</vt:lpstr>
      <vt:lpstr>Time!MatDensity</vt:lpstr>
      <vt:lpstr>Time2!MatDensity</vt:lpstr>
      <vt:lpstr>Time3!MatDensity</vt:lpstr>
      <vt:lpstr>Time4!MatDensity</vt:lpstr>
      <vt:lpstr>Time5!MatDensity</vt:lpstr>
      <vt:lpstr>Time6!MatDensity</vt:lpstr>
      <vt:lpstr>'Allen Bradley MPL - Feed (1)'!material</vt:lpstr>
      <vt:lpstr>'Allen Bradley MPL - Feed (2)'!material</vt:lpstr>
      <vt:lpstr>'Sigma 5 Feed (1)'!material</vt:lpstr>
      <vt:lpstr>'Sigma 5 Feed (2)'!material</vt:lpstr>
      <vt:lpstr>'Sigma 5 Feed With Pull Thru (1)'!material</vt:lpstr>
      <vt:lpstr>'Sigma 5 Feed With Pull Thru (2)'!material</vt:lpstr>
      <vt:lpstr>'Str. Utility (1)'!material</vt:lpstr>
      <vt:lpstr>'Str. Utility (2)'!material</vt:lpstr>
      <vt:lpstr>'Str. Utility (3)'!material</vt:lpstr>
      <vt:lpstr>'Str. Utility (4)'!material</vt:lpstr>
      <vt:lpstr>'TD,DB,HD (1)'!material</vt:lpstr>
      <vt:lpstr>'TD,DB,HD (2)'!material</vt:lpstr>
      <vt:lpstr>'TD,DB,HD (3)'!material</vt:lpstr>
      <vt:lpstr>'TD,DB,HD (4)'!material</vt:lpstr>
      <vt:lpstr>Time!material</vt:lpstr>
      <vt:lpstr>Time2!material</vt:lpstr>
      <vt:lpstr>Time3!material</vt:lpstr>
      <vt:lpstr>Time4!material</vt:lpstr>
      <vt:lpstr>Time5!material</vt:lpstr>
      <vt:lpstr>Time6!material</vt:lpstr>
      <vt:lpstr>Material_1</vt:lpstr>
      <vt:lpstr>Material_2</vt:lpstr>
      <vt:lpstr>Material_3</vt:lpstr>
      <vt:lpstr>Material_4</vt:lpstr>
      <vt:lpstr>'Allen Bradley MPL - Feed (1)'!MatLnFLT</vt:lpstr>
      <vt:lpstr>'Allen Bradley MPL - Feed (2)'!MatLnFLT</vt:lpstr>
      <vt:lpstr>Inertia!MatLnFLT</vt:lpstr>
      <vt:lpstr>Inertia2!MatLnFLT</vt:lpstr>
      <vt:lpstr>Inertia3!MatLnFLT</vt:lpstr>
      <vt:lpstr>Inertia4!MatLnFLT</vt:lpstr>
      <vt:lpstr>Inertia5!MatLnFLT</vt:lpstr>
      <vt:lpstr>Inertia6!MatLnFLT</vt:lpstr>
      <vt:lpstr>'Sigma 5 Feed (1)'!MatLnFLT</vt:lpstr>
      <vt:lpstr>'Sigma 5 Feed (2)'!MatLnFLT</vt:lpstr>
      <vt:lpstr>'Sigma 5 Feed With Pull Thru (1)'!MatLnFLT</vt:lpstr>
      <vt:lpstr>'Sigma 5 Feed With Pull Thru (2)'!MatLnFLT</vt:lpstr>
      <vt:lpstr>Time!MatLnFLT</vt:lpstr>
      <vt:lpstr>Time2!MatLnFLT</vt:lpstr>
      <vt:lpstr>Time3!MatLnFLT</vt:lpstr>
      <vt:lpstr>Time4!MatLnFLT</vt:lpstr>
      <vt:lpstr>Time5!MatLnFLT</vt:lpstr>
      <vt:lpstr>Time6!MatLnFLT</vt:lpstr>
      <vt:lpstr>'Allen Bradley MPL - Feed (1)'!MatLoop</vt:lpstr>
      <vt:lpstr>'Allen Bradley MPL - Feed (2)'!MatLoop</vt:lpstr>
      <vt:lpstr>Inertia!MatLoop</vt:lpstr>
      <vt:lpstr>Inertia2!MatLoop</vt:lpstr>
      <vt:lpstr>Inertia3!MatLoop</vt:lpstr>
      <vt:lpstr>Inertia4!MatLoop</vt:lpstr>
      <vt:lpstr>Inertia5!MatLoop</vt:lpstr>
      <vt:lpstr>Inertia6!MatLoop</vt:lpstr>
      <vt:lpstr>'Sigma 5 Feed (1)'!MatLoop</vt:lpstr>
      <vt:lpstr>'Sigma 5 Feed (2)'!MatLoop</vt:lpstr>
      <vt:lpstr>'Sigma 5 Feed With Pull Thru (1)'!MatLoop</vt:lpstr>
      <vt:lpstr>'Sigma 5 Feed With Pull Thru (2)'!MatLoop</vt:lpstr>
      <vt:lpstr>Time!MatLoop</vt:lpstr>
      <vt:lpstr>Time2!MatLoop</vt:lpstr>
      <vt:lpstr>Time3!MatLoop</vt:lpstr>
      <vt:lpstr>Time4!MatLoop</vt:lpstr>
      <vt:lpstr>Time5!MatLoop</vt:lpstr>
      <vt:lpstr>Time6!MatLoop</vt:lpstr>
      <vt:lpstr>'Allen Bradley MPL - Feed (1)'!MatThickness</vt:lpstr>
      <vt:lpstr>'Allen Bradley MPL - Feed (2)'!MatThickness</vt:lpstr>
      <vt:lpstr>Inertia!MatThickness</vt:lpstr>
      <vt:lpstr>Inertia2!MatThickness</vt:lpstr>
      <vt:lpstr>Inertia3!MatThickness</vt:lpstr>
      <vt:lpstr>Inertia4!MatThickness</vt:lpstr>
      <vt:lpstr>Inertia5!MatThickness</vt:lpstr>
      <vt:lpstr>Inertia6!MatThickness</vt:lpstr>
      <vt:lpstr>'Sigma 5 Feed (1)'!MatThickness</vt:lpstr>
      <vt:lpstr>'Sigma 5 Feed (2)'!MatThickness</vt:lpstr>
      <vt:lpstr>'Sigma 5 Feed With Pull Thru (1)'!MatThickness</vt:lpstr>
      <vt:lpstr>'Sigma 5 Feed With Pull Thru (2)'!MatThickness</vt:lpstr>
      <vt:lpstr>Time!MatThickness</vt:lpstr>
      <vt:lpstr>Time2!MatThickness</vt:lpstr>
      <vt:lpstr>Time3!MatThickness</vt:lpstr>
      <vt:lpstr>Time4!MatThickness</vt:lpstr>
      <vt:lpstr>Time5!MatThickness</vt:lpstr>
      <vt:lpstr>Time6!MatThickness</vt:lpstr>
      <vt:lpstr>'Allen Bradley MPL - Feed (1)'!MatWidth</vt:lpstr>
      <vt:lpstr>'Allen Bradley MPL - Feed (2)'!MatWidth</vt:lpstr>
      <vt:lpstr>Inertia!MatWidth</vt:lpstr>
      <vt:lpstr>Inertia2!MatWidth</vt:lpstr>
      <vt:lpstr>Inertia3!MatWidth</vt:lpstr>
      <vt:lpstr>Inertia4!MatWidth</vt:lpstr>
      <vt:lpstr>Inertia5!MatWidth</vt:lpstr>
      <vt:lpstr>Inertia6!MatWidth</vt:lpstr>
      <vt:lpstr>'Sigma 5 Feed (1)'!MatWidth</vt:lpstr>
      <vt:lpstr>'Sigma 5 Feed (2)'!MatWidth</vt:lpstr>
      <vt:lpstr>'Sigma 5 Feed With Pull Thru (1)'!MATWIDTH</vt:lpstr>
      <vt:lpstr>'Sigma 5 Feed With Pull Thru (2)'!MATWIDTH</vt:lpstr>
      <vt:lpstr>Time!MatWidth</vt:lpstr>
      <vt:lpstr>Time2!MatWidth</vt:lpstr>
      <vt:lpstr>Time3!MatWidth</vt:lpstr>
      <vt:lpstr>Time4!MatWidth</vt:lpstr>
      <vt:lpstr>Time5!MatWidth</vt:lpstr>
      <vt:lpstr>Time6!MatWidth</vt:lpstr>
      <vt:lpstr>RFQ!MaxCoilOD</vt:lpstr>
      <vt:lpstr>RFQ!MaxCoilWeight</vt:lpstr>
      <vt:lpstr>RFQ!MaxCoilWidth</vt:lpstr>
      <vt:lpstr>RFQ!MinCoilWidth</vt:lpstr>
      <vt:lpstr>MinHoldDownConfirmed</vt:lpstr>
      <vt:lpstr>'Allen Bradley MPL - Feed (1)'!MINLN</vt:lpstr>
      <vt:lpstr>'Allen Bradley MPL - Feed (2)'!MINLN</vt:lpstr>
      <vt:lpstr>'Sigma 5 Feed (1)'!MINLN</vt:lpstr>
      <vt:lpstr>'Sigma 5 Feed (2)'!MINLN</vt:lpstr>
      <vt:lpstr>'Sigma 5 Feed With Pull Thru (1)'!MINLN</vt:lpstr>
      <vt:lpstr>'Sigma 5 Feed With Pull Thru (2)'!MINLN</vt:lpstr>
      <vt:lpstr>Time!MINLN</vt:lpstr>
      <vt:lpstr>Time2!MINLN</vt:lpstr>
      <vt:lpstr>Time3!MINLN</vt:lpstr>
      <vt:lpstr>Time4!MINLN</vt:lpstr>
      <vt:lpstr>Time5!MINLN</vt:lpstr>
      <vt:lpstr>Time6!MINLN</vt:lpstr>
      <vt:lpstr>'Allen Bradley MPL - Feed (1)'!MINT</vt:lpstr>
      <vt:lpstr>'Allen Bradley MPL - Feed (2)'!MINT</vt:lpstr>
      <vt:lpstr>Regen!MINT</vt:lpstr>
      <vt:lpstr>Regen2!MINT</vt:lpstr>
      <vt:lpstr>Regen3!MINT</vt:lpstr>
      <vt:lpstr>Regen4!MINT</vt:lpstr>
      <vt:lpstr>Regen5!MINT</vt:lpstr>
      <vt:lpstr>Regen6!MINT</vt:lpstr>
      <vt:lpstr>'Sigma 5 Feed (1)'!MINT</vt:lpstr>
      <vt:lpstr>'Sigma 5 Feed (2)'!MINT</vt:lpstr>
      <vt:lpstr>'Sigma 5 Feed With Pull Thru (1)'!MINT</vt:lpstr>
      <vt:lpstr>'Sigma 5 Feed With Pull Thru (2)'!MINT</vt:lpstr>
      <vt:lpstr>Time!MINT</vt:lpstr>
      <vt:lpstr>Time2!MINT</vt:lpstr>
      <vt:lpstr>Time3!MINT</vt:lpstr>
      <vt:lpstr>Time4!MINT</vt:lpstr>
      <vt:lpstr>Time5!MINT</vt:lpstr>
      <vt:lpstr>Time6!MINT</vt:lpstr>
      <vt:lpstr>'Str. Utility (1)'!mod</vt:lpstr>
      <vt:lpstr>'Str. Utility (2)'!mod</vt:lpstr>
      <vt:lpstr>'Str. Utility (3)'!mod</vt:lpstr>
      <vt:lpstr>'Str. Utility (4)'!mod</vt:lpstr>
      <vt:lpstr>'TD,DB,HD (1)'!mod</vt:lpstr>
      <vt:lpstr>'TD,DB,HD (2)'!mod</vt:lpstr>
      <vt:lpstr>'TD,DB,HD (3)'!mod</vt:lpstr>
      <vt:lpstr>'TD,DB,HD (4)'!mod</vt:lpstr>
      <vt:lpstr>'Allen Bradley MPL - Feed (1)'!model</vt:lpstr>
      <vt:lpstr>'Allen Bradley MPL - Feed (2)'!model</vt:lpstr>
      <vt:lpstr>'Reel Drive'!Model</vt:lpstr>
      <vt:lpstr>Regen!MODEL</vt:lpstr>
      <vt:lpstr>Regen2!MODEL</vt:lpstr>
      <vt:lpstr>Regen3!MODEL</vt:lpstr>
      <vt:lpstr>Regen4!MODEL</vt:lpstr>
      <vt:lpstr>Regen5!MODEL</vt:lpstr>
      <vt:lpstr>Regen6!MODEL</vt:lpstr>
      <vt:lpstr>'Sigma 5 Feed (1)'!model</vt:lpstr>
      <vt:lpstr>'Sigma 5 Feed (2)'!model</vt:lpstr>
      <vt:lpstr>'Sigma 5 Feed With Pull Thru (1)'!model</vt:lpstr>
      <vt:lpstr>'Sigma 5 Feed With Pull Thru (2)'!model</vt:lpstr>
      <vt:lpstr>'Str. Utility (1)'!model</vt:lpstr>
      <vt:lpstr>'Str. Utility (2)'!model</vt:lpstr>
      <vt:lpstr>'Str. Utility (3)'!model</vt:lpstr>
      <vt:lpstr>'Str. Utility (4)'!model</vt:lpstr>
      <vt:lpstr>Time!model</vt:lpstr>
      <vt:lpstr>Time2!model</vt:lpstr>
      <vt:lpstr>Time3!model</vt:lpstr>
      <vt:lpstr>Time4!model</vt:lpstr>
      <vt:lpstr>Time5!model</vt:lpstr>
      <vt:lpstr>Time6!model</vt:lpstr>
      <vt:lpstr>'11 Roll Str. Backbend (1)'!modulus</vt:lpstr>
      <vt:lpstr>'11 Roll Str. Backbend (2)'!modulus</vt:lpstr>
      <vt:lpstr>'11 Roll Str. Backbend (3)'!modulus</vt:lpstr>
      <vt:lpstr>'11 Roll Str. Backbend (4)'!modulus</vt:lpstr>
      <vt:lpstr>'7 Roll Str. Backbend (1)'!modulus</vt:lpstr>
      <vt:lpstr>'7 Roll Str. Backbend (2)'!modulus</vt:lpstr>
      <vt:lpstr>'7 Roll Str. Backbend (3)'!modulus</vt:lpstr>
      <vt:lpstr>'7 Roll Str. Backbend (4)'!modulus</vt:lpstr>
      <vt:lpstr>'9 Roll Str. Backbend (1)'!modulus</vt:lpstr>
      <vt:lpstr>'9 Roll Str. Backbend (2)'!modulus</vt:lpstr>
      <vt:lpstr>'9 Roll Str. Backbend (3)'!modulus</vt:lpstr>
      <vt:lpstr>'9 Roll Str. Backbend (4)'!modulus</vt:lpstr>
      <vt:lpstr>'Reel Drive'!MOTORINT</vt:lpstr>
      <vt:lpstr>'Reel Drive'!MOTORRPM</vt:lpstr>
      <vt:lpstr>'Allen Bradley MPL - Feed (1)'!MOVTM</vt:lpstr>
      <vt:lpstr>'Allen Bradley MPL - Feed (2)'!MOVTM</vt:lpstr>
      <vt:lpstr>'Sigma 5 Feed (1)'!MOVTM</vt:lpstr>
      <vt:lpstr>'Sigma 5 Feed (2)'!MOVTM</vt:lpstr>
      <vt:lpstr>'Sigma 5 Feed With Pull Thru (1)'!MOVTM</vt:lpstr>
      <vt:lpstr>'Sigma 5 Feed With Pull Thru (2)'!MOVTM</vt:lpstr>
      <vt:lpstr>Time!MOVTM</vt:lpstr>
      <vt:lpstr>Time2!MOVTM</vt:lpstr>
      <vt:lpstr>Time3!MOVTM</vt:lpstr>
      <vt:lpstr>Time4!MOVTM</vt:lpstr>
      <vt:lpstr>Time5!MOVTM</vt:lpstr>
      <vt:lpstr>Time6!MOVTM</vt:lpstr>
      <vt:lpstr>'Allen Bradley MPL - Feed (1)'!MOVTM_2</vt:lpstr>
      <vt:lpstr>'Allen Bradley MPL - Feed (2)'!MOVTM_2</vt:lpstr>
      <vt:lpstr>'Sigma 5 Feed (1)'!MOVTM_2</vt:lpstr>
      <vt:lpstr>'Sigma 5 Feed (2)'!MOVTM_2</vt:lpstr>
      <vt:lpstr>'Sigma 5 Feed With Pull Thru (1)'!MOVTM_2</vt:lpstr>
      <vt:lpstr>'Sigma 5 Feed With Pull Thru (2)'!MOVTM_2</vt:lpstr>
      <vt:lpstr>Time!MOVTM_2</vt:lpstr>
      <vt:lpstr>Time2!MOVTM_2</vt:lpstr>
      <vt:lpstr>Time3!MOVTM_2</vt:lpstr>
      <vt:lpstr>Time4!MOVTM_2</vt:lpstr>
      <vt:lpstr>Time5!MOVTM_2</vt:lpstr>
      <vt:lpstr>Time6!MOVTM_2</vt:lpstr>
      <vt:lpstr>'Allen Bradley MPL - Feed (1)'!MPEAK</vt:lpstr>
      <vt:lpstr>'Allen Bradley MPL - Feed (2)'!MPEAK</vt:lpstr>
      <vt:lpstr>'Sigma 5 Feed (1)'!MPEAK</vt:lpstr>
      <vt:lpstr>'Sigma 5 Feed (2)'!MPEAK</vt:lpstr>
      <vt:lpstr>'Sigma 5 Feed With Pull Thru (1)'!MPEAK</vt:lpstr>
      <vt:lpstr>'Sigma 5 Feed With Pull Thru (2)'!MPEAK</vt:lpstr>
      <vt:lpstr>Time!MPEAK</vt:lpstr>
      <vt:lpstr>Time2!MPEAK</vt:lpstr>
      <vt:lpstr>Time3!MPEAK</vt:lpstr>
      <vt:lpstr>Time4!MPEAK</vt:lpstr>
      <vt:lpstr>Time5!MPEAK</vt:lpstr>
      <vt:lpstr>Time6!MPEAK</vt:lpstr>
      <vt:lpstr>'Allen Bradley MPL - Feed (1)'!MRMS</vt:lpstr>
      <vt:lpstr>'Allen Bradley MPL - Feed (2)'!MRMS</vt:lpstr>
      <vt:lpstr>'Sigma 5 Feed (1)'!MRMS</vt:lpstr>
      <vt:lpstr>'Sigma 5 Feed (2)'!MRMS</vt:lpstr>
      <vt:lpstr>'Sigma 5 Feed With Pull Thru (1)'!MRMS</vt:lpstr>
      <vt:lpstr>'Sigma 5 Feed With Pull Thru (2)'!MRMS</vt:lpstr>
      <vt:lpstr>Time!MRMS</vt:lpstr>
      <vt:lpstr>Time2!MRMS</vt:lpstr>
      <vt:lpstr>Time3!MRMS</vt:lpstr>
      <vt:lpstr>Time4!MRMS</vt:lpstr>
      <vt:lpstr>Time5!MRMS</vt:lpstr>
      <vt:lpstr>Time6!MRMS</vt:lpstr>
      <vt:lpstr>'Allen Bradley MPL - Feed (1)'!MRPM</vt:lpstr>
      <vt:lpstr>'Allen Bradley MPL - Feed (2)'!MRPM</vt:lpstr>
      <vt:lpstr>'Sigma 5 Feed (1)'!MRPM</vt:lpstr>
      <vt:lpstr>'Sigma 5 Feed (2)'!MRPM</vt:lpstr>
      <vt:lpstr>'Sigma 5 Feed With Pull Thru (1)'!MRPM</vt:lpstr>
      <vt:lpstr>'Sigma 5 Feed With Pull Thru (2)'!MRPM</vt:lpstr>
      <vt:lpstr>Time!MRPM</vt:lpstr>
      <vt:lpstr>Time2!MRPM</vt:lpstr>
      <vt:lpstr>Time3!MRPM</vt:lpstr>
      <vt:lpstr>Time4!MRPM</vt:lpstr>
      <vt:lpstr>Time5!MRPM</vt:lpstr>
      <vt:lpstr>Time6!MRPM</vt:lpstr>
      <vt:lpstr>'Reel Drive'!MTRHP</vt:lpstr>
      <vt:lpstr>'Reel Drive'!MTRRPMFULL</vt:lpstr>
      <vt:lpstr>'11 Roll Str. Backbend (1)'!My</vt:lpstr>
      <vt:lpstr>'11 Roll Str. Backbend (2)'!My</vt:lpstr>
      <vt:lpstr>'11 Roll Str. Backbend (3)'!My</vt:lpstr>
      <vt:lpstr>'11 Roll Str. Backbend (4)'!My</vt:lpstr>
      <vt:lpstr>'7 Roll Str. Backbend (1)'!My</vt:lpstr>
      <vt:lpstr>'7 Roll Str. Backbend (2)'!My</vt:lpstr>
      <vt:lpstr>'7 Roll Str. Backbend (3)'!My</vt:lpstr>
      <vt:lpstr>'7 Roll Str. Backbend (4)'!My</vt:lpstr>
      <vt:lpstr>'9 Roll Str. Backbend (1)'!My</vt:lpstr>
      <vt:lpstr>'9 Roll Str. Backbend (2)'!My</vt:lpstr>
      <vt:lpstr>'9 Roll Str. Backbend (3)'!My</vt:lpstr>
      <vt:lpstr>'9 Roll Str. Backbend (4)'!My</vt:lpstr>
      <vt:lpstr>'Str. Utility (1)'!My</vt:lpstr>
      <vt:lpstr>'Str. Utility (2)'!My</vt:lpstr>
      <vt:lpstr>'Str. Utility (3)'!My</vt:lpstr>
      <vt:lpstr>'Str. Utility (4)'!My</vt:lpstr>
      <vt:lpstr>'TD,DB,HD (1)'!My</vt:lpstr>
      <vt:lpstr>'TD,DB,HD (2)'!My</vt:lpstr>
      <vt:lpstr>'TD,DB,HD (3)'!My</vt:lpstr>
      <vt:lpstr>'TD,DB,HD (4)'!My</vt:lpstr>
      <vt:lpstr>'TD,DB,HD (1)'!no_brakepads</vt:lpstr>
      <vt:lpstr>'TD,DB,HD (2)'!no_brakepads</vt:lpstr>
      <vt:lpstr>'TD,DB,HD (3)'!no_brakepads</vt:lpstr>
      <vt:lpstr>'TD,DB,HD (4)'!no_brakepads</vt:lpstr>
      <vt:lpstr>NonMarking</vt:lpstr>
      <vt:lpstr>RFQ!Passline</vt:lpstr>
      <vt:lpstr>Passline</vt:lpstr>
      <vt:lpstr>'Str. Utility (1)'!payoff</vt:lpstr>
      <vt:lpstr>'Str. Utility (2)'!payoff</vt:lpstr>
      <vt:lpstr>'Str. Utility (3)'!payoff</vt:lpstr>
      <vt:lpstr>'Str. Utility (4)'!payoff</vt:lpstr>
      <vt:lpstr>'Allen Bradley MPL - Feed (1)'!PEAKTQ</vt:lpstr>
      <vt:lpstr>'Allen Bradley MPL - Feed (2)'!PEAKTQ</vt:lpstr>
      <vt:lpstr>'Sigma 5 Feed (1)'!PEAKTQ</vt:lpstr>
      <vt:lpstr>'Sigma 5 Feed (2)'!PEAKTQ</vt:lpstr>
      <vt:lpstr>'Sigma 5 Feed With Pull Thru (1)'!PEAKTQ</vt:lpstr>
      <vt:lpstr>'Sigma 5 Feed With Pull Thru (2)'!PEAKTQ</vt:lpstr>
      <vt:lpstr>Time!PEAKTQ</vt:lpstr>
      <vt:lpstr>Time2!PEAKTQ</vt:lpstr>
      <vt:lpstr>Time3!PEAKTQ</vt:lpstr>
      <vt:lpstr>Time4!PEAKTQ</vt:lpstr>
      <vt:lpstr>Time5!PEAKTQ</vt:lpstr>
      <vt:lpstr>Time6!PEAKTQ</vt:lpstr>
      <vt:lpstr>'Str. Utility (1)'!pinch_dia</vt:lpstr>
      <vt:lpstr>'Str. Utility (2)'!pinch_dia</vt:lpstr>
      <vt:lpstr>'Str. Utility (3)'!pinch_dia</vt:lpstr>
      <vt:lpstr>'Str. Utility (4)'!pinch_dia</vt:lpstr>
      <vt:lpstr>RFQ!PressFeedSection</vt:lpstr>
      <vt:lpstr>RFQ!PressMaxSPM</vt:lpstr>
      <vt:lpstr>'Equipment Summary'!Print_Area</vt:lpstr>
      <vt:lpstr>'Reel Drive'!Print_Area</vt:lpstr>
      <vt:lpstr>RFQ!Print_Area</vt:lpstr>
      <vt:lpstr>'Str. Utility (1)'!pro_brake</vt:lpstr>
      <vt:lpstr>'Str. Utility (2)'!pro_brake</vt:lpstr>
      <vt:lpstr>'Str. Utility (3)'!pro_brake</vt:lpstr>
      <vt:lpstr>'Str. Utility (4)'!pro_brake</vt:lpstr>
      <vt:lpstr>RFQ!PullThroughAllowed</vt:lpstr>
      <vt:lpstr>RFQ!PullThroughInvalid</vt:lpstr>
      <vt:lpstr>'11 Roll Str. Backbend (1)'!rad_at_yld</vt:lpstr>
      <vt:lpstr>'11 Roll Str. Backbend (2)'!rad_at_yld</vt:lpstr>
      <vt:lpstr>'11 Roll Str. Backbend (3)'!rad_at_yld</vt:lpstr>
      <vt:lpstr>'11 Roll Str. Backbend (4)'!rad_at_yld</vt:lpstr>
      <vt:lpstr>'7 Roll Str. Backbend (1)'!rad_at_yld</vt:lpstr>
      <vt:lpstr>'7 Roll Str. Backbend (2)'!rad_at_yld</vt:lpstr>
      <vt:lpstr>'7 Roll Str. Backbend (3)'!rad_at_yld</vt:lpstr>
      <vt:lpstr>'7 Roll Str. Backbend (4)'!rad_at_yld</vt:lpstr>
      <vt:lpstr>'9 Roll Str. Backbend (1)'!rad_at_yld</vt:lpstr>
      <vt:lpstr>'9 Roll Str. Backbend (2)'!rad_at_yld</vt:lpstr>
      <vt:lpstr>'9 Roll Str. Backbend (3)'!rad_at_yld</vt:lpstr>
      <vt:lpstr>'9 Roll Str. Backbend (4)'!rad_at_yld</vt:lpstr>
      <vt:lpstr>'Str. Utility (1)'!rad_at_yld</vt:lpstr>
      <vt:lpstr>'Str. Utility (2)'!rad_at_yld</vt:lpstr>
      <vt:lpstr>'Str. Utility (3)'!rad_at_yld</vt:lpstr>
      <vt:lpstr>'Str. Utility (4)'!rad_at_yld</vt:lpstr>
      <vt:lpstr>'Allen Bradley MPL - Feed (1)'!RATIO</vt:lpstr>
      <vt:lpstr>'Allen Bradley MPL - Feed (2)'!RATIO</vt:lpstr>
      <vt:lpstr>Inertia!Ratio</vt:lpstr>
      <vt:lpstr>Inertia2!Ratio</vt:lpstr>
      <vt:lpstr>Inertia3!Ratio</vt:lpstr>
      <vt:lpstr>Inertia4!Ratio</vt:lpstr>
      <vt:lpstr>Inertia5!Ratio</vt:lpstr>
      <vt:lpstr>Inertia6!Ratio</vt:lpstr>
      <vt:lpstr>'Reel Drive'!RATIO</vt:lpstr>
      <vt:lpstr>'Sigma 5 Feed (1)'!RATIO</vt:lpstr>
      <vt:lpstr>'Sigma 5 Feed (2)'!RATIO</vt:lpstr>
      <vt:lpstr>'Sigma 5 Feed With Pull Thru (1)'!RATIO</vt:lpstr>
      <vt:lpstr>'Sigma 5 Feed With Pull Thru (2)'!RATIO</vt:lpstr>
      <vt:lpstr>Time!RATIO</vt:lpstr>
      <vt:lpstr>Time2!RATIO</vt:lpstr>
      <vt:lpstr>Time3!RATIO</vt:lpstr>
      <vt:lpstr>Time4!RATIO</vt:lpstr>
      <vt:lpstr>Time5!RATIO</vt:lpstr>
      <vt:lpstr>Time6!RATIO</vt:lpstr>
      <vt:lpstr>'Reel Drive'!REARBEARINGDIA</vt:lpstr>
      <vt:lpstr>'Reel Drive'!REDBACKEFFIC</vt:lpstr>
      <vt:lpstr>'Reel Drive'!REDUCEREFFIC</vt:lpstr>
      <vt:lpstr>'Reel Drive'!REDUCERINT</vt:lpstr>
      <vt:lpstr>'Reel Drive'!REDUCERRATIO</vt:lpstr>
      <vt:lpstr>'Reel Drive'!REDUCERREFLI</vt:lpstr>
      <vt:lpstr>Reel_Backplate</vt:lpstr>
      <vt:lpstr>reel_model</vt:lpstr>
      <vt:lpstr>Reel_Width</vt:lpstr>
      <vt:lpstr>ReelDriveOK</vt:lpstr>
      <vt:lpstr>ReelStyle</vt:lpstr>
      <vt:lpstr>Reference</vt:lpstr>
      <vt:lpstr>'Reel Drive'!REFLECTEDFRICTIONFULL</vt:lpstr>
      <vt:lpstr>'Reel Drive'!REFLFRICEMPTY</vt:lpstr>
      <vt:lpstr>'Reel Drive'!REFLIEMPTY</vt:lpstr>
      <vt:lpstr>'Reel Drive'!REFLIFULL</vt:lpstr>
      <vt:lpstr>'Allen Bradley MPL - Feed (1)'!reflin</vt:lpstr>
      <vt:lpstr>'Allen Bradley MPL - Feed (2)'!reflin</vt:lpstr>
      <vt:lpstr>'Sigma 5 Feed (1)'!reflin</vt:lpstr>
      <vt:lpstr>'Sigma 5 Feed (2)'!reflin</vt:lpstr>
      <vt:lpstr>'Sigma 5 Feed With Pull Thru (1)'!reflin</vt:lpstr>
      <vt:lpstr>'Sigma 5 Feed With Pull Thru (2)'!reflin</vt:lpstr>
      <vt:lpstr>Time!reflin</vt:lpstr>
      <vt:lpstr>Time2!reflin</vt:lpstr>
      <vt:lpstr>Time3!reflin</vt:lpstr>
      <vt:lpstr>Time4!reflin</vt:lpstr>
      <vt:lpstr>Time5!reflin</vt:lpstr>
      <vt:lpstr>Time6!reflin</vt:lpstr>
      <vt:lpstr>'Allen Bradley MPL - Feed (1)'!regen</vt:lpstr>
      <vt:lpstr>'Allen Bradley MPL - Feed (2)'!regen</vt:lpstr>
      <vt:lpstr>Regen!regen</vt:lpstr>
      <vt:lpstr>Regen2!regen</vt:lpstr>
      <vt:lpstr>Regen3!regen</vt:lpstr>
      <vt:lpstr>Regen4!regen</vt:lpstr>
      <vt:lpstr>Regen5!regen</vt:lpstr>
      <vt:lpstr>Regen6!regen</vt:lpstr>
      <vt:lpstr>'Sigma 5 Feed (1)'!regen</vt:lpstr>
      <vt:lpstr>'Sigma 5 Feed (2)'!regen</vt:lpstr>
      <vt:lpstr>'Sigma 5 Feed With Pull Thru (1)'!regen</vt:lpstr>
      <vt:lpstr>'Sigma 5 Feed With Pull Thru (2)'!regen</vt:lpstr>
      <vt:lpstr>Time!regen</vt:lpstr>
      <vt:lpstr>Time2!regen</vt:lpstr>
      <vt:lpstr>Time3!regen</vt:lpstr>
      <vt:lpstr>Time4!regen</vt:lpstr>
      <vt:lpstr>Time5!regen</vt:lpstr>
      <vt:lpstr>Time6!regen</vt:lpstr>
      <vt:lpstr>'Reel Drive'!REGENEMPYY</vt:lpstr>
      <vt:lpstr>'Reel Drive'!REGENFULL</vt:lpstr>
      <vt:lpstr>ReqMaxFPM_1</vt:lpstr>
      <vt:lpstr>ReqMaxFPM_2</vt:lpstr>
      <vt:lpstr>ReqMaxFPM_3</vt:lpstr>
      <vt:lpstr>ReqMaxFPM_4</vt:lpstr>
      <vt:lpstr>RFQ!RequireGuarding</vt:lpstr>
      <vt:lpstr>RFQ!RequireRewind</vt:lpstr>
      <vt:lpstr>RFQ!RFQBackplate</vt:lpstr>
      <vt:lpstr>RFQ!RFQCoilCar</vt:lpstr>
      <vt:lpstr>RFQ!RFQDate</vt:lpstr>
      <vt:lpstr>RFQ!RFQMaterialList</vt:lpstr>
      <vt:lpstr>RFQ!RFQTypeOfQuote</vt:lpstr>
      <vt:lpstr>'Allen Bradley MPL - Feed (1)'!RMSTQ</vt:lpstr>
      <vt:lpstr>'Allen Bradley MPL - Feed (2)'!RMSTQ</vt:lpstr>
      <vt:lpstr>'Sigma 5 Feed (1)'!RMSTQ</vt:lpstr>
      <vt:lpstr>'Sigma 5 Feed (2)'!RMSTQ</vt:lpstr>
      <vt:lpstr>'Sigma 5 Feed With Pull Thru (1)'!RMSTQ</vt:lpstr>
      <vt:lpstr>'Sigma 5 Feed With Pull Thru (2)'!RMSTQ</vt:lpstr>
      <vt:lpstr>Time!RMSTQ</vt:lpstr>
      <vt:lpstr>Time2!RMSTQ</vt:lpstr>
      <vt:lpstr>Time3!RMSTQ</vt:lpstr>
      <vt:lpstr>Time4!RMSTQ</vt:lpstr>
      <vt:lpstr>Time5!RMSTQ</vt:lpstr>
      <vt:lpstr>Time6!RMSTQ</vt:lpstr>
      <vt:lpstr>'Allen Bradley MPL - Feed (1)'!RMSTQ_2</vt:lpstr>
      <vt:lpstr>'Allen Bradley MPL - Feed (2)'!RMSTQ_2</vt:lpstr>
      <vt:lpstr>'Sigma 5 Feed (1)'!RMSTQ_2</vt:lpstr>
      <vt:lpstr>'Sigma 5 Feed (2)'!RMSTQ_2</vt:lpstr>
      <vt:lpstr>'Sigma 5 Feed With Pull Thru (1)'!RMSTQ_2</vt:lpstr>
      <vt:lpstr>'Sigma 5 Feed With Pull Thru (2)'!RMSTQ_2</vt:lpstr>
      <vt:lpstr>Time!RMSTQ_2</vt:lpstr>
      <vt:lpstr>Time2!RMSTQ_2</vt:lpstr>
      <vt:lpstr>Time3!RMSTQ_2</vt:lpstr>
      <vt:lpstr>Time4!RMSTQ_2</vt:lpstr>
      <vt:lpstr>Time5!RMSTQ_2</vt:lpstr>
      <vt:lpstr>Time6!RMSTQ_2</vt:lpstr>
      <vt:lpstr>RollSelection</vt:lpstr>
      <vt:lpstr>'Allen Bradley MPL - Feed (1)'!ROLLWIDTH</vt:lpstr>
      <vt:lpstr>'Allen Bradley MPL - Feed (2)'!ROLLWIDTH</vt:lpstr>
      <vt:lpstr>Inertia!RollWidth</vt:lpstr>
      <vt:lpstr>Inertia2!RollWidth</vt:lpstr>
      <vt:lpstr>Inertia3!ROLLWIDTH</vt:lpstr>
      <vt:lpstr>Inertia4!ROLLWIDTH</vt:lpstr>
      <vt:lpstr>Inertia5!RollWidth</vt:lpstr>
      <vt:lpstr>Inertia6!RollWidth</vt:lpstr>
      <vt:lpstr>'Sigma 5 Feed (1)'!ROLLWIDTH</vt:lpstr>
      <vt:lpstr>'Sigma 5 Feed (2)'!ROLLWIDTH</vt:lpstr>
      <vt:lpstr>'Sigma 5 Feed With Pull Thru (1)'!ROLLWIDTH</vt:lpstr>
      <vt:lpstr>'Sigma 5 Feed With Pull Thru (2)'!ROLLWIDTH</vt:lpstr>
      <vt:lpstr>Time!ROLLWIDTH</vt:lpstr>
      <vt:lpstr>Time2!ROLLWIDTH</vt:lpstr>
      <vt:lpstr>Time3!ROLLWIDTH</vt:lpstr>
      <vt:lpstr>Time4!ROLLWIDTH</vt:lpstr>
      <vt:lpstr>Time5!ROLLWIDTH</vt:lpstr>
      <vt:lpstr>Time6!ROLLWIDTH</vt:lpstr>
      <vt:lpstr>'Allen Bradley MPL - Feed (1)'!RPM</vt:lpstr>
      <vt:lpstr>'Allen Bradley MPL - Feed (2)'!RPM</vt:lpstr>
      <vt:lpstr>Regen!RPM</vt:lpstr>
      <vt:lpstr>Regen2!RPM</vt:lpstr>
      <vt:lpstr>Regen3!RPM</vt:lpstr>
      <vt:lpstr>Regen4!RPM</vt:lpstr>
      <vt:lpstr>Regen5!RPM</vt:lpstr>
      <vt:lpstr>Regen6!RPM</vt:lpstr>
      <vt:lpstr>'Sigma 5 Feed (1)'!RPM</vt:lpstr>
      <vt:lpstr>'Sigma 5 Feed (2)'!RPM</vt:lpstr>
      <vt:lpstr>'Sigma 5 Feed With Pull Thru (1)'!RPM</vt:lpstr>
      <vt:lpstr>'Sigma 5 Feed With Pull Thru (2)'!RPM</vt:lpstr>
      <vt:lpstr>Time!RPM</vt:lpstr>
      <vt:lpstr>Time2!RPM</vt:lpstr>
      <vt:lpstr>Time3!RPM</vt:lpstr>
      <vt:lpstr>Time4!RPM</vt:lpstr>
      <vt:lpstr>Time5!RPM</vt:lpstr>
      <vt:lpstr>Time6!RPM</vt:lpstr>
      <vt:lpstr>'Reel Drive'!RPMEMPTY</vt:lpstr>
      <vt:lpstr>'Reel Drive'!RPMFULL</vt:lpstr>
      <vt:lpstr>'TD,DB,HD (1)'!rw_torque</vt:lpstr>
      <vt:lpstr>'TD,DB,HD (2)'!rw_torque</vt:lpstr>
      <vt:lpstr>'TD,DB,HD (3)'!rw_torque</vt:lpstr>
      <vt:lpstr>'TD,DB,HD (4)'!rw_torque</vt:lpstr>
      <vt:lpstr>Inertia3!S_Roll</vt:lpstr>
      <vt:lpstr>Inertia4!S_Roll</vt:lpstr>
      <vt:lpstr>'Sigma 5 Feed With Pull Thru (1)'!S_ROLL</vt:lpstr>
      <vt:lpstr>'Sigma 5 Feed With Pull Thru (2)'!S_ROLL</vt:lpstr>
      <vt:lpstr>Time3!S_ROLL</vt:lpstr>
      <vt:lpstr>Time4!S_ROLL</vt:lpstr>
      <vt:lpstr>SelectedApplication</vt:lpstr>
      <vt:lpstr>SelectedFeedUsed</vt:lpstr>
      <vt:lpstr>SelectedPullThruUsed</vt:lpstr>
      <vt:lpstr>SelectedReelType</vt:lpstr>
      <vt:lpstr>SelectedReelUsed</vt:lpstr>
      <vt:lpstr>SelectedShearUsed</vt:lpstr>
      <vt:lpstr>SelectedStackerUsed</vt:lpstr>
      <vt:lpstr>SelectedStrUsed</vt:lpstr>
      <vt:lpstr>'Allen Bradley MPL - Feed (1)'!SETTM</vt:lpstr>
      <vt:lpstr>'Allen Bradley MPL - Feed (2)'!SETTM</vt:lpstr>
      <vt:lpstr>'Sigma 5 Feed (1)'!SETTM</vt:lpstr>
      <vt:lpstr>'Sigma 5 Feed (2)'!SETTM</vt:lpstr>
      <vt:lpstr>'Sigma 5 Feed With Pull Thru (1)'!SETTM</vt:lpstr>
      <vt:lpstr>'Sigma 5 Feed With Pull Thru (2)'!SETTM</vt:lpstr>
      <vt:lpstr>Time!SETTM</vt:lpstr>
      <vt:lpstr>Time2!SETTM</vt:lpstr>
      <vt:lpstr>Time3!SETTM</vt:lpstr>
      <vt:lpstr>Time4!SETTM</vt:lpstr>
      <vt:lpstr>Time5!SETTM</vt:lpstr>
      <vt:lpstr>Time6!SETTM</vt:lpstr>
      <vt:lpstr>'Allen Bradley MPL - Feed (1)'!SETTQ</vt:lpstr>
      <vt:lpstr>'Allen Bradley MPL - Feed (2)'!SETTQ</vt:lpstr>
      <vt:lpstr>'Sigma 5 Feed (1)'!SETTQ</vt:lpstr>
      <vt:lpstr>'Sigma 5 Feed (2)'!SETTQ</vt:lpstr>
      <vt:lpstr>'Sigma 5 Feed With Pull Thru (1)'!SETTQ</vt:lpstr>
      <vt:lpstr>'Sigma 5 Feed With Pull Thru (2)'!SETTQ</vt:lpstr>
      <vt:lpstr>Time!SETTQ</vt:lpstr>
      <vt:lpstr>Time2!SETTQ</vt:lpstr>
      <vt:lpstr>Time3!SETTQ</vt:lpstr>
      <vt:lpstr>Time4!SETTQ</vt:lpstr>
      <vt:lpstr>Time5!SETTQ</vt:lpstr>
      <vt:lpstr>Time6!SETTQ</vt:lpstr>
      <vt:lpstr>ShowAll</vt:lpstr>
      <vt:lpstr>Sigma5Pass</vt:lpstr>
      <vt:lpstr>SigmaPTOK</vt:lpstr>
      <vt:lpstr>Inertia3!SP_Roll</vt:lpstr>
      <vt:lpstr>Inertia4!SP_Roll</vt:lpstr>
      <vt:lpstr>'Sigma 5 Feed With Pull Thru (1)'!SP_ROLL</vt:lpstr>
      <vt:lpstr>'Sigma 5 Feed With Pull Thru (2)'!SP_ROLL</vt:lpstr>
      <vt:lpstr>Time3!SP_ROLL</vt:lpstr>
      <vt:lpstr>Time4!SP_ROLL</vt:lpstr>
      <vt:lpstr>'Reel Drive'!SPEED</vt:lpstr>
      <vt:lpstr>'Reel Drive'!SPRKTINT</vt:lpstr>
      <vt:lpstr>'Reel Drive'!SPRKTOD</vt:lpstr>
      <vt:lpstr>'Reel Drive'!SPRKTREFLI</vt:lpstr>
      <vt:lpstr>'Reel Drive'!SPRKTTHICK</vt:lpstr>
      <vt:lpstr>'Reel Drive'!SPRKTWEIGHT</vt:lpstr>
      <vt:lpstr>'TD,DB,HD (1)'!sr_endwheel</vt:lpstr>
      <vt:lpstr>'TD,DB,HD (2)'!sr_endwheel</vt:lpstr>
      <vt:lpstr>'TD,DB,HD (3)'!sr_endwheel</vt:lpstr>
      <vt:lpstr>'TD,DB,HD (4)'!sr_endwheel</vt:lpstr>
      <vt:lpstr>'Str. Utility (1)'!str_dia</vt:lpstr>
      <vt:lpstr>'Str. Utility (2)'!str_dia</vt:lpstr>
      <vt:lpstr>'Str. Utility (3)'!str_dia</vt:lpstr>
      <vt:lpstr>'Str. Utility (4)'!str_dia</vt:lpstr>
      <vt:lpstr>'Sigma 5 Feed With Pull Thru (1)'!STR_TO</vt:lpstr>
      <vt:lpstr>'Sigma 5 Feed With Pull Thru (2)'!STR_TO</vt:lpstr>
      <vt:lpstr>Time3!STR_TO</vt:lpstr>
      <vt:lpstr>Time4!STR_TO</vt:lpstr>
      <vt:lpstr>'Str. Utility (1)'!str_tq</vt:lpstr>
      <vt:lpstr>'Str. Utility (2)'!str_tq</vt:lpstr>
      <vt:lpstr>'Str. Utility (3)'!str_tq</vt:lpstr>
      <vt:lpstr>'Str. Utility (4)'!str_tq</vt:lpstr>
      <vt:lpstr>'Str. Utility (1)'!str_width</vt:lpstr>
      <vt:lpstr>'Str. Utility (2)'!str_width</vt:lpstr>
      <vt:lpstr>'Str. Utility (3)'!str_width</vt:lpstr>
      <vt:lpstr>'Str. Utility (4)'!str_width</vt:lpstr>
      <vt:lpstr>Str1_11YieldMet</vt:lpstr>
      <vt:lpstr>Str1_7YieldMet</vt:lpstr>
      <vt:lpstr>Str1_9YieldMet</vt:lpstr>
      <vt:lpstr>Str1OK</vt:lpstr>
      <vt:lpstr>Str2_11YieldMet</vt:lpstr>
      <vt:lpstr>Str2_7YieldMet</vt:lpstr>
      <vt:lpstr>Str2_9YieldMet</vt:lpstr>
      <vt:lpstr>Str2OK</vt:lpstr>
      <vt:lpstr>Str3_11YieldMet</vt:lpstr>
      <vt:lpstr>Str3_7YieldMet</vt:lpstr>
      <vt:lpstr>Str3_9YieldMet</vt:lpstr>
      <vt:lpstr>Str3OK</vt:lpstr>
      <vt:lpstr>Str4_11YieldMet</vt:lpstr>
      <vt:lpstr>Str4_7YieldMet</vt:lpstr>
      <vt:lpstr>Str4_9YieldMet</vt:lpstr>
      <vt:lpstr>Str4OK</vt:lpstr>
      <vt:lpstr>'Allen Bradley MPL - Feed (1)'!StrMaxSp</vt:lpstr>
      <vt:lpstr>'Allen Bradley MPL - Feed (2)'!StrMaxSp</vt:lpstr>
      <vt:lpstr>'Sigma 5 Feed (1)'!StrMaxSp</vt:lpstr>
      <vt:lpstr>'Sigma 5 Feed (2)'!StrMaxSp</vt:lpstr>
      <vt:lpstr>'Sigma 5 Feed With Pull Thru (1)'!StrMaxSp</vt:lpstr>
      <vt:lpstr>'Sigma 5 Feed With Pull Thru (2)'!StrMaxSp</vt:lpstr>
      <vt:lpstr>Time!StrMaxSp</vt:lpstr>
      <vt:lpstr>Time2!StrMaxSp</vt:lpstr>
      <vt:lpstr>Time3!StrMaxSp</vt:lpstr>
      <vt:lpstr>Time4!StrMaxSp</vt:lpstr>
      <vt:lpstr>Time5!StrMaxSp</vt:lpstr>
      <vt:lpstr>Time6!StrMaxSp</vt:lpstr>
      <vt:lpstr>'Allen Bradley MPL - Feed (1)'!StrMaxSpInch</vt:lpstr>
      <vt:lpstr>'Allen Bradley MPL - Feed (2)'!StrMaxSpInch</vt:lpstr>
      <vt:lpstr>'Sigma 5 Feed (1)'!StrMaxSpInch</vt:lpstr>
      <vt:lpstr>'Sigma 5 Feed (2)'!StrMaxSpInch</vt:lpstr>
      <vt:lpstr>'Sigma 5 Feed With Pull Thru (1)'!StrMaxSpInch</vt:lpstr>
      <vt:lpstr>'Sigma 5 Feed With Pull Thru (2)'!StrMaxSpInch</vt:lpstr>
      <vt:lpstr>Time!StrMaxSpInch</vt:lpstr>
      <vt:lpstr>Time2!StrMaxSpInch</vt:lpstr>
      <vt:lpstr>Time3!StrMaxSpInch</vt:lpstr>
      <vt:lpstr>Time4!StrMaxSpInch</vt:lpstr>
      <vt:lpstr>Time5!StrMaxSpInch</vt:lpstr>
      <vt:lpstr>Time6!StrMaxSpInch</vt:lpstr>
      <vt:lpstr>'TD,DB,HD (1)'!SUM</vt:lpstr>
      <vt:lpstr>'Allen Bradley MPL - Feed (1)'!T</vt:lpstr>
      <vt:lpstr>'Allen Bradley MPL - Feed (2)'!T</vt:lpstr>
      <vt:lpstr>Regen!T</vt:lpstr>
      <vt:lpstr>Regen2!T</vt:lpstr>
      <vt:lpstr>Regen3!T</vt:lpstr>
      <vt:lpstr>Regen4!T</vt:lpstr>
      <vt:lpstr>Regen5!T</vt:lpstr>
      <vt:lpstr>Regen6!T</vt:lpstr>
      <vt:lpstr>'Sigma 5 Feed (1)'!T</vt:lpstr>
      <vt:lpstr>'Sigma 5 Feed (2)'!T</vt:lpstr>
      <vt:lpstr>'Sigma 5 Feed With Pull Thru (1)'!T</vt:lpstr>
      <vt:lpstr>'Sigma 5 Feed With Pull Thru (2)'!T</vt:lpstr>
      <vt:lpstr>Time!T</vt:lpstr>
      <vt:lpstr>Time2!T</vt:lpstr>
      <vt:lpstr>Time3!T</vt:lpstr>
      <vt:lpstr>Time4!T</vt:lpstr>
      <vt:lpstr>Time5!T</vt:lpstr>
      <vt:lpstr>Time6!T</vt:lpstr>
      <vt:lpstr>TDDBHDOK</vt:lpstr>
      <vt:lpstr>RFQ!Tensile_1</vt:lpstr>
      <vt:lpstr>Tensile_1</vt:lpstr>
      <vt:lpstr>RFQ!Tensile_2</vt:lpstr>
      <vt:lpstr>Tensile_2</vt:lpstr>
      <vt:lpstr>RFQ!Tensile_3</vt:lpstr>
      <vt:lpstr>Tensile_3</vt:lpstr>
      <vt:lpstr>RFQ!Tensile_4</vt:lpstr>
      <vt:lpstr>Tensile_4</vt:lpstr>
      <vt:lpstr>'TD,DB,HD (1)'!tension</vt:lpstr>
      <vt:lpstr>'TD,DB,HD (2)'!tension</vt:lpstr>
      <vt:lpstr>'TD,DB,HD (3)'!tension</vt:lpstr>
      <vt:lpstr>'TD,DB,HD (4)'!tension</vt:lpstr>
      <vt:lpstr>'TD,DB,HD (1)'!tension_desired</vt:lpstr>
      <vt:lpstr>'TD,DB,HD (2)'!tension_desired</vt:lpstr>
      <vt:lpstr>'TD,DB,HD (3)'!tension_desired</vt:lpstr>
      <vt:lpstr>'TD,DB,HD (4)'!tension_desired</vt:lpstr>
      <vt:lpstr>'TD,DB,HD (1)'!tension_tor</vt:lpstr>
      <vt:lpstr>'TD,DB,HD (2)'!tension_tor</vt:lpstr>
      <vt:lpstr>'TD,DB,HD (3)'!tension_tor</vt:lpstr>
      <vt:lpstr>'TD,DB,HD (4)'!tension_tor</vt:lpstr>
      <vt:lpstr>RFQ!Thick_1</vt:lpstr>
      <vt:lpstr>RFQ!Thick_2</vt:lpstr>
      <vt:lpstr>RFQ!Thick_3</vt:lpstr>
      <vt:lpstr>RFQ!Thick_4</vt:lpstr>
      <vt:lpstr>Thickness_1</vt:lpstr>
      <vt:lpstr>Thickness_2</vt:lpstr>
      <vt:lpstr>Thickness_3</vt:lpstr>
      <vt:lpstr>Thickness_4</vt:lpstr>
      <vt:lpstr>'11 Roll Str. Backbend (1)'!thk</vt:lpstr>
      <vt:lpstr>'11 Roll Str. Backbend (2)'!thk</vt:lpstr>
      <vt:lpstr>'11 Roll Str. Backbend (3)'!thk</vt:lpstr>
      <vt:lpstr>'11 Roll Str. Backbend (4)'!thk</vt:lpstr>
      <vt:lpstr>'7 Roll Str. Backbend (1)'!thk</vt:lpstr>
      <vt:lpstr>'7 Roll Str. Backbend (2)'!thk</vt:lpstr>
      <vt:lpstr>'7 Roll Str. Backbend (3)'!thk</vt:lpstr>
      <vt:lpstr>'7 Roll Str. Backbend (4)'!thk</vt:lpstr>
      <vt:lpstr>'9 Roll Str. Backbend (1)'!thk</vt:lpstr>
      <vt:lpstr>'9 Roll Str. Backbend (2)'!thk</vt:lpstr>
      <vt:lpstr>'9 Roll Str. Backbend (3)'!thk</vt:lpstr>
      <vt:lpstr>'9 Roll Str. Backbend (4)'!thk</vt:lpstr>
      <vt:lpstr>'Str. Utility (1)'!thk</vt:lpstr>
      <vt:lpstr>'Str. Utility (2)'!thk</vt:lpstr>
      <vt:lpstr>'Str. Utility (3)'!thk</vt:lpstr>
      <vt:lpstr>'Str. Utility (4)'!thk</vt:lpstr>
      <vt:lpstr>'TD,DB,HD (1)'!thk</vt:lpstr>
      <vt:lpstr>'TD,DB,HD (2)'!thk</vt:lpstr>
      <vt:lpstr>'TD,DB,HD (3)'!thk</vt:lpstr>
      <vt:lpstr>'TD,DB,HD (4)'!thk</vt:lpstr>
      <vt:lpstr>'Allen Bradley MPL - Feed (1)'!Tint</vt:lpstr>
      <vt:lpstr>'Allen Bradley MPL - Feed (2)'!Tint</vt:lpstr>
      <vt:lpstr>Regen!Tint</vt:lpstr>
      <vt:lpstr>Regen2!Tint</vt:lpstr>
      <vt:lpstr>Regen3!Tint</vt:lpstr>
      <vt:lpstr>Regen4!Tint</vt:lpstr>
      <vt:lpstr>Regen5!Tint</vt:lpstr>
      <vt:lpstr>Regen6!Tint</vt:lpstr>
      <vt:lpstr>'Sigma 5 Feed (1)'!Tint</vt:lpstr>
      <vt:lpstr>'Sigma 5 Feed (2)'!Tint</vt:lpstr>
      <vt:lpstr>'Sigma 5 Feed With Pull Thru (1)'!Tint</vt:lpstr>
      <vt:lpstr>'Sigma 5 Feed With Pull Thru (2)'!Tint</vt:lpstr>
      <vt:lpstr>Time!Tint</vt:lpstr>
      <vt:lpstr>Time2!Tint</vt:lpstr>
      <vt:lpstr>Time3!Tint</vt:lpstr>
      <vt:lpstr>Time4!Tint</vt:lpstr>
      <vt:lpstr>Time5!Tint</vt:lpstr>
      <vt:lpstr>Time6!Tint</vt:lpstr>
      <vt:lpstr>'Reel Drive'!TQEMPTY</vt:lpstr>
      <vt:lpstr>'Reel Drive'!TQFULL</vt:lpstr>
      <vt:lpstr>TypeOfLine</vt:lpstr>
      <vt:lpstr>RFQ!UsePullThrough</vt:lpstr>
      <vt:lpstr>'Allen Bradley MPL - Feed (1)'!vel</vt:lpstr>
      <vt:lpstr>'Allen Bradley MPL - Feed (2)'!vel</vt:lpstr>
      <vt:lpstr>'Sigma 5 Feed (1)'!vel</vt:lpstr>
      <vt:lpstr>'Sigma 5 Feed (2)'!vel</vt:lpstr>
      <vt:lpstr>'Sigma 5 Feed With Pull Thru (1)'!vel</vt:lpstr>
      <vt:lpstr>'Sigma 5 Feed With Pull Thru (2)'!vel</vt:lpstr>
      <vt:lpstr>Time!vel</vt:lpstr>
      <vt:lpstr>Time2!vel</vt:lpstr>
      <vt:lpstr>Time3!vel</vt:lpstr>
      <vt:lpstr>Time4!vel</vt:lpstr>
      <vt:lpstr>Time5!vel</vt:lpstr>
      <vt:lpstr>Time6!vel</vt:lpstr>
      <vt:lpstr>RFQ!VoltageRequired</vt:lpstr>
      <vt:lpstr>'11 Roll Str. Backbend (1)'!width</vt:lpstr>
      <vt:lpstr>'11 Roll Str. Backbend (2)'!width</vt:lpstr>
      <vt:lpstr>'11 Roll Str. Backbend (3)'!width</vt:lpstr>
      <vt:lpstr>'11 Roll Str. Backbend (4)'!width</vt:lpstr>
      <vt:lpstr>'7 Roll Str. Backbend (1)'!width</vt:lpstr>
      <vt:lpstr>'7 Roll Str. Backbend (2)'!width</vt:lpstr>
      <vt:lpstr>'7 Roll Str. Backbend (3)'!width</vt:lpstr>
      <vt:lpstr>'7 Roll Str. Backbend (4)'!width</vt:lpstr>
      <vt:lpstr>'9 Roll Str. Backbend (1)'!width</vt:lpstr>
      <vt:lpstr>'9 Roll Str. Backbend (2)'!width</vt:lpstr>
      <vt:lpstr>'9 Roll Str. Backbend (3)'!width</vt:lpstr>
      <vt:lpstr>'9 Roll Str. Backbend (4)'!width</vt:lpstr>
      <vt:lpstr>'Allen Bradley MPL - Feed (1)'!width</vt:lpstr>
      <vt:lpstr>'Allen Bradley MPL - Feed (2)'!width</vt:lpstr>
      <vt:lpstr>Inertia!Width</vt:lpstr>
      <vt:lpstr>Inertia2!Width</vt:lpstr>
      <vt:lpstr>Inertia3!Width</vt:lpstr>
      <vt:lpstr>Inertia4!Width</vt:lpstr>
      <vt:lpstr>Inertia5!Width</vt:lpstr>
      <vt:lpstr>Inertia6!Width</vt:lpstr>
      <vt:lpstr>'Reel Drive'!WIDTH</vt:lpstr>
      <vt:lpstr>'Sigma 5 Feed (1)'!width</vt:lpstr>
      <vt:lpstr>'Sigma 5 Feed (2)'!width</vt:lpstr>
      <vt:lpstr>'Sigma 5 Feed With Pull Thru (1)'!width</vt:lpstr>
      <vt:lpstr>'Sigma 5 Feed With Pull Thru (2)'!width</vt:lpstr>
      <vt:lpstr>'TD,DB,HD (1)'!width</vt:lpstr>
      <vt:lpstr>'TD,DB,HD (2)'!width</vt:lpstr>
      <vt:lpstr>'TD,DB,HD (3)'!width</vt:lpstr>
      <vt:lpstr>'TD,DB,HD (4)'!width</vt:lpstr>
      <vt:lpstr>Time!width</vt:lpstr>
      <vt:lpstr>Time2!width</vt:lpstr>
      <vt:lpstr>Time3!width</vt:lpstr>
      <vt:lpstr>Time4!width</vt:lpstr>
      <vt:lpstr>Time5!width</vt:lpstr>
      <vt:lpstr>Time6!width</vt:lpstr>
      <vt:lpstr>RFQ!Width_1</vt:lpstr>
      <vt:lpstr>RFQ!Width_2</vt:lpstr>
      <vt:lpstr>RFQ!Width_3</vt:lpstr>
      <vt:lpstr>RFQ!Width_4</vt:lpstr>
      <vt:lpstr>WorkbookSignature</vt:lpstr>
      <vt:lpstr>RFQ!WorkDays</vt:lpstr>
      <vt:lpstr>RFQ!WorkShifts</vt:lpstr>
      <vt:lpstr>'TD,DB,HD (1)'!y</vt:lpstr>
      <vt:lpstr>'TD,DB,HD (2)'!y</vt:lpstr>
      <vt:lpstr>'TD,DB,HD (3)'!y</vt:lpstr>
      <vt:lpstr>'TD,DB,HD (4)'!y</vt:lpstr>
      <vt:lpstr>'11 Roll Str. Backbend (1)'!yield</vt:lpstr>
      <vt:lpstr>'11 Roll Str. Backbend (2)'!yield</vt:lpstr>
      <vt:lpstr>'11 Roll Str. Backbend (3)'!yield</vt:lpstr>
      <vt:lpstr>'11 Roll Str. Backbend (4)'!yield</vt:lpstr>
      <vt:lpstr>'7 Roll Str. Backbend (1)'!yield</vt:lpstr>
      <vt:lpstr>'7 Roll Str. Backbend (2)'!yield</vt:lpstr>
      <vt:lpstr>'7 Roll Str. Backbend (3)'!yield</vt:lpstr>
      <vt:lpstr>'7 Roll Str. Backbend (4)'!yield</vt:lpstr>
      <vt:lpstr>'9 Roll Str. Backbend (1)'!yield</vt:lpstr>
      <vt:lpstr>'9 Roll Str. Backbend (2)'!yield</vt:lpstr>
      <vt:lpstr>'9 Roll Str. Backbend (3)'!yield</vt:lpstr>
      <vt:lpstr>'9 Roll Str. Backbend (4)'!yield</vt:lpstr>
      <vt:lpstr>'Str. Utility (1)'!yield</vt:lpstr>
      <vt:lpstr>'Str. Utility (2)'!yield</vt:lpstr>
      <vt:lpstr>'Str. Utility (3)'!yield</vt:lpstr>
      <vt:lpstr>'Str. Utility (4)'!yield</vt:lpstr>
      <vt:lpstr>'TD,DB,HD (1)'!yield</vt:lpstr>
      <vt:lpstr>'TD,DB,HD (2)'!yield</vt:lpstr>
      <vt:lpstr>'TD,DB,HD (3)'!yield</vt:lpstr>
      <vt:lpstr>'TD,DB,HD (4)'!yield</vt:lpstr>
      <vt:lpstr>RFQ!Yield_1</vt:lpstr>
      <vt:lpstr>RFQ!Yield_2</vt:lpstr>
      <vt:lpstr>RFQ!Yield_3</vt:lpstr>
      <vt:lpstr>RFQ!Yield_4</vt:lpstr>
      <vt:lpstr>YieldStrength_1</vt:lpstr>
      <vt:lpstr>YieldStrength_2</vt:lpstr>
      <vt:lpstr>YieldStrength_3</vt:lpstr>
      <vt:lpstr>YieldStrength_4</vt:lpstr>
      <vt:lpstr>'Sigma 5 Feed With Pull Thru (1)'!YLD</vt:lpstr>
      <vt:lpstr>'Sigma 5 Feed With Pull Thru (2)'!YLD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Keary</dc:creator>
  <cp:lastModifiedBy>Roberto R. Aguilar</cp:lastModifiedBy>
  <cp:lastPrinted>2020-12-22T20:59:04Z</cp:lastPrinted>
  <dcterms:created xsi:type="dcterms:W3CDTF">2015-10-09T11:46:52Z</dcterms:created>
  <dcterms:modified xsi:type="dcterms:W3CDTF">2023-07-18T16:50:12Z</dcterms:modified>
</cp:coreProperties>
</file>