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duction\BUTTON PRODUCTION PLANT\Compost yard\Make-up\2022\"/>
    </mc:Choice>
  </mc:AlternateContent>
  <bookViews>
    <workbookView xWindow="-120" yWindow="-120" windowWidth="20730" windowHeight="11160" tabRatio="500"/>
  </bookViews>
  <sheets>
    <sheet name="UREA in prewetting" sheetId="1" r:id="rId1"/>
  </sheets>
  <definedNames>
    <definedName name="_xlnm.Print_Area">#REF!</definedName>
    <definedName name="PRINT_AREA_MI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I12" i="1" s="1"/>
  <c r="K12" i="1" s="1"/>
  <c r="C7" i="1"/>
  <c r="D4" i="1"/>
  <c r="E4" i="1"/>
  <c r="F23" i="1" s="1"/>
  <c r="D3" i="1"/>
  <c r="E3" i="1"/>
  <c r="D5" i="1"/>
  <c r="E5" i="1"/>
  <c r="I4" i="1"/>
  <c r="N6" i="1" s="1"/>
  <c r="B4" i="1"/>
  <c r="K4" i="1"/>
  <c r="F67" i="1"/>
  <c r="D11" i="1"/>
  <c r="E11" i="1" s="1"/>
  <c r="K33" i="1"/>
  <c r="E53" i="1"/>
  <c r="F53" i="1"/>
  <c r="B104" i="1"/>
  <c r="D82" i="1"/>
  <c r="E82" i="1"/>
  <c r="G44" i="1"/>
  <c r="H44" i="1"/>
  <c r="B83" i="1"/>
  <c r="D83" i="1"/>
  <c r="E83" i="1"/>
  <c r="G45" i="1"/>
  <c r="H45" i="1"/>
  <c r="B106" i="1"/>
  <c r="D84" i="1"/>
  <c r="E84" i="1"/>
  <c r="G46" i="1"/>
  <c r="H46" i="1"/>
  <c r="D85" i="1"/>
  <c r="E85" i="1"/>
  <c r="G47" i="1"/>
  <c r="H47" i="1"/>
  <c r="D86" i="1"/>
  <c r="E86" i="1"/>
  <c r="G48" i="1"/>
  <c r="H48" i="1"/>
  <c r="H53" i="1"/>
  <c r="I53" i="1"/>
  <c r="L47" i="1"/>
  <c r="B39" i="1"/>
  <c r="K31" i="1"/>
  <c r="B43" i="1"/>
  <c r="B47" i="1"/>
  <c r="F66" i="1"/>
  <c r="F15" i="1"/>
  <c r="C8" i="1"/>
  <c r="I8" i="1" s="1"/>
  <c r="K8" i="1" s="1"/>
  <c r="C9" i="1"/>
  <c r="I9" i="1" s="1"/>
  <c r="K9" i="1" s="1"/>
  <c r="C6" i="1"/>
  <c r="C5" i="1"/>
  <c r="C3" i="1"/>
  <c r="B11" i="1"/>
  <c r="J11" i="1" s="1"/>
  <c r="B12" i="1"/>
  <c r="B10" i="1"/>
  <c r="B7" i="1"/>
  <c r="B8" i="1"/>
  <c r="J8" i="1" s="1"/>
  <c r="B9" i="1"/>
  <c r="B6" i="1"/>
  <c r="B5" i="1"/>
  <c r="B3" i="1"/>
  <c r="N7" i="1"/>
  <c r="D78" i="1"/>
  <c r="E64" i="1"/>
  <c r="E69" i="1"/>
  <c r="F69" i="1"/>
  <c r="E68" i="1"/>
  <c r="F64" i="1"/>
  <c r="L46" i="1"/>
  <c r="C94" i="1"/>
  <c r="B94" i="1"/>
  <c r="E94" i="1"/>
  <c r="M49" i="1"/>
  <c r="L49" i="1"/>
  <c r="L53" i="1"/>
  <c r="L41" i="1"/>
  <c r="L40" i="1"/>
  <c r="L37" i="1"/>
  <c r="M53" i="1"/>
  <c r="L36" i="1"/>
  <c r="M52" i="1"/>
  <c r="D90" i="1"/>
  <c r="E90" i="1"/>
  <c r="D88" i="1"/>
  <c r="E88" i="1"/>
  <c r="B87" i="1"/>
  <c r="D87" i="1"/>
  <c r="E87" i="1"/>
  <c r="B89" i="1"/>
  <c r="D89" i="1"/>
  <c r="E89" i="1"/>
  <c r="I45" i="1"/>
  <c r="I46" i="1"/>
  <c r="I47" i="1"/>
  <c r="I48" i="1"/>
  <c r="G49" i="1"/>
  <c r="H49" i="1"/>
  <c r="G50" i="1"/>
  <c r="H50" i="1"/>
  <c r="I50" i="1"/>
  <c r="G51" i="1"/>
  <c r="H51" i="1"/>
  <c r="I51" i="1"/>
  <c r="G52" i="1"/>
  <c r="H52" i="1"/>
  <c r="I52" i="1"/>
  <c r="K32" i="1"/>
  <c r="I44" i="1"/>
  <c r="I49" i="1"/>
  <c r="H54" i="1"/>
  <c r="G53" i="1"/>
  <c r="G54" i="1"/>
  <c r="H55" i="1"/>
  <c r="G55" i="1"/>
  <c r="C10" i="1"/>
  <c r="I10" i="1" s="1"/>
  <c r="K10" i="1" s="1"/>
  <c r="K36" i="1"/>
  <c r="L52" i="1"/>
  <c r="K34" i="1"/>
  <c r="L31" i="1"/>
  <c r="L32" i="1"/>
  <c r="E54" i="1"/>
  <c r="F54" i="1"/>
  <c r="I54" i="1"/>
  <c r="L48" i="1"/>
  <c r="H36" i="1"/>
  <c r="D13" i="1"/>
  <c r="C14" i="1"/>
  <c r="D14" i="1"/>
  <c r="C15" i="1"/>
  <c r="D15" i="1"/>
  <c r="C13" i="1"/>
  <c r="B14" i="1"/>
  <c r="B15" i="1"/>
  <c r="B13" i="1"/>
  <c r="F11" i="1"/>
  <c r="I11" i="1"/>
  <c r="I7" i="1"/>
  <c r="M48" i="1"/>
  <c r="E55" i="1"/>
  <c r="F55" i="1"/>
  <c r="K39" i="1"/>
  <c r="M47" i="1"/>
  <c r="F70" i="1"/>
  <c r="H35" i="1"/>
  <c r="H34" i="1"/>
  <c r="F63" i="1"/>
  <c r="F62" i="1"/>
  <c r="F68" i="1"/>
  <c r="D12" i="1"/>
  <c r="E12" i="1" s="1"/>
  <c r="D9" i="1"/>
  <c r="D10" i="1"/>
  <c r="E10" i="1" s="1"/>
  <c r="D7" i="1"/>
  <c r="E7" i="1" s="1"/>
  <c r="F7" i="1"/>
  <c r="F8" i="1"/>
  <c r="F4" i="1"/>
  <c r="F5" i="1"/>
  <c r="F6" i="1"/>
  <c r="F9" i="1"/>
  <c r="F10" i="1"/>
  <c r="F12" i="1"/>
  <c r="F36" i="1"/>
  <c r="B34" i="1"/>
  <c r="B33" i="1"/>
  <c r="J9" i="1"/>
  <c r="B41" i="1"/>
  <c r="J4" i="1"/>
  <c r="J12" i="1"/>
  <c r="J10" i="1"/>
  <c r="J6" i="1"/>
  <c r="I6" i="1"/>
  <c r="K6" i="1" s="1"/>
  <c r="J5" i="1"/>
  <c r="I5" i="1"/>
  <c r="K5" i="1"/>
  <c r="B22" i="1"/>
  <c r="B31" i="1"/>
  <c r="H33" i="1"/>
  <c r="F3" i="1"/>
  <c r="N5" i="1"/>
  <c r="I3" i="1"/>
  <c r="J3" i="1"/>
  <c r="K3" i="1"/>
  <c r="N12" i="1"/>
  <c r="N13" i="1" s="1"/>
  <c r="E15" i="1"/>
  <c r="I15" i="1"/>
  <c r="K15" i="1" s="1"/>
  <c r="J15" i="1"/>
  <c r="E9" i="1"/>
  <c r="F65" i="1"/>
  <c r="D6" i="1"/>
  <c r="E6" i="1" s="1"/>
  <c r="D8" i="1"/>
  <c r="E8" i="1" s="1"/>
  <c r="L35" i="1"/>
  <c r="M44" i="1" s="1"/>
  <c r="B29" i="1"/>
  <c r="H13" i="1"/>
  <c r="H37" i="1" s="1"/>
  <c r="E13" i="1"/>
  <c r="I55" i="1"/>
  <c r="F33" i="1"/>
  <c r="K38" i="1"/>
  <c r="I13" i="1"/>
  <c r="K13" i="1" s="1"/>
  <c r="J13" i="1"/>
  <c r="H14" i="1"/>
  <c r="I14" i="1" s="1"/>
  <c r="K14" i="1" s="1"/>
  <c r="F14" i="1"/>
  <c r="F35" i="1" l="1"/>
  <c r="F34" i="1"/>
  <c r="E14" i="1"/>
  <c r="F25" i="1" s="1"/>
  <c r="H16" i="1"/>
  <c r="H24" i="1" s="1"/>
  <c r="J14" i="1"/>
  <c r="F13" i="1"/>
  <c r="F37" i="1" s="1"/>
  <c r="F16" i="1"/>
  <c r="H38" i="1"/>
  <c r="K7" i="1"/>
  <c r="J7" i="1"/>
  <c r="J16" i="1" s="1"/>
  <c r="F24" i="1"/>
  <c r="F26" i="1" s="1"/>
  <c r="K35" i="1" s="1"/>
  <c r="L44" i="1" s="1"/>
  <c r="M51" i="1"/>
  <c r="M55" i="1" s="1"/>
  <c r="M50" i="1"/>
  <c r="M54" i="1" s="1"/>
  <c r="F38" i="1"/>
  <c r="I16" i="1"/>
  <c r="B17" i="1"/>
  <c r="B20" i="1"/>
  <c r="K11" i="1"/>
  <c r="N8" i="1"/>
  <c r="H25" i="1" l="1"/>
  <c r="K41" i="1"/>
  <c r="B24" i="1"/>
  <c r="H23" i="1"/>
  <c r="E16" i="1"/>
  <c r="E24" i="1"/>
  <c r="E25" i="1"/>
  <c r="E23" i="1"/>
  <c r="K40" i="1"/>
  <c r="K16" i="1"/>
  <c r="L50" i="1"/>
  <c r="L54" i="1" s="1"/>
  <c r="L51" i="1"/>
  <c r="L55" i="1" s="1"/>
  <c r="H26" i="1" l="1"/>
  <c r="E26" i="1"/>
  <c r="L9" i="1"/>
  <c r="L7" i="1"/>
  <c r="B25" i="1"/>
  <c r="L4" i="1"/>
  <c r="L5" i="1"/>
  <c r="L13" i="1"/>
  <c r="L3" i="1"/>
  <c r="L15" i="1"/>
  <c r="L27" i="1" s="1"/>
  <c r="L6" i="1"/>
  <c r="L8" i="1"/>
  <c r="L14" i="1"/>
  <c r="L10" i="1"/>
  <c r="L12" i="1"/>
  <c r="L26" i="1" s="1"/>
  <c r="L16" i="1"/>
  <c r="L11" i="1"/>
  <c r="L25" i="1" l="1"/>
  <c r="L24" i="1"/>
  <c r="L23" i="1"/>
  <c r="L28" i="1" l="1"/>
</calcChain>
</file>

<file path=xl/comments1.xml><?xml version="1.0" encoding="utf-8"?>
<comments xmlns="http://schemas.openxmlformats.org/spreadsheetml/2006/main">
  <authors>
    <author>Laurent Demuynck</author>
  </authors>
  <commentList>
    <comment ref="B45" authorId="0" shapeId="0">
      <text>
        <r>
          <rPr>
            <b/>
            <sz val="10"/>
            <color rgb="FF000000"/>
            <rFont val="Tahoma"/>
            <family val="2"/>
          </rPr>
          <t>Laurent Demuynck: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assumption: straw weight is 1/3 of total phase 1 </t>
        </r>
      </text>
    </comment>
    <comment ref="B69" authorId="0" shapeId="0">
      <text>
        <r>
          <rPr>
            <b/>
            <sz val="10"/>
            <color rgb="FF000000"/>
            <rFont val="Tahoma"/>
            <family val="2"/>
          </rPr>
          <t>Laurent Demuynck: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guesstimate</t>
        </r>
      </text>
    </comment>
    <comment ref="E70" authorId="0" shapeId="0">
      <text>
        <r>
          <rPr>
            <b/>
            <sz val="10"/>
            <color rgb="FF000000"/>
            <rFont val="Tahoma"/>
            <family val="2"/>
          </rPr>
          <t>Laurent Demuynck: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estimate, some basic transport cost</t>
        </r>
      </text>
    </comment>
    <comment ref="D78" authorId="0" shapeId="0">
      <text>
        <r>
          <rPr>
            <b/>
            <sz val="10"/>
            <color rgb="FF000000"/>
            <rFont val="Tahoma"/>
            <family val="2"/>
          </rPr>
          <t>Laurent Demuynck: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invoice of Jan 2020 Trans Africa Container</t>
        </r>
      </text>
    </comment>
    <comment ref="B87" authorId="0" shapeId="0">
      <text>
        <r>
          <rPr>
            <b/>
            <sz val="10"/>
            <color rgb="FF000000"/>
            <rFont val="Tahoma"/>
            <family val="2"/>
          </rPr>
          <t>Laurent Demuynck: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estimate</t>
        </r>
      </text>
    </comment>
    <comment ref="B104" authorId="0" shapeId="0">
      <text>
        <r>
          <rPr>
            <b/>
            <sz val="10"/>
            <color rgb="FF000000"/>
            <rFont val="Tahoma"/>
            <family val="2"/>
          </rPr>
          <t>Laurent Demuynck: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based on quote for tranport of Lambert
</t>
        </r>
      </text>
    </comment>
    <comment ref="B106" authorId="0" shapeId="0">
      <text>
        <r>
          <rPr>
            <b/>
            <sz val="10"/>
            <color rgb="FF000000"/>
            <rFont val="Tahoma"/>
            <family val="2"/>
          </rPr>
          <t>Laurent Demuynck: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based on quote for tranport of Lambert
</t>
        </r>
      </text>
    </comment>
  </commentList>
</comments>
</file>

<file path=xl/sharedStrings.xml><?xml version="1.0" encoding="utf-8"?>
<sst xmlns="http://schemas.openxmlformats.org/spreadsheetml/2006/main" count="233" uniqueCount="166">
  <si>
    <t>Dry weight (kg)</t>
  </si>
  <si>
    <t>Wet N kg</t>
  </si>
  <si>
    <t>Dry N kg</t>
  </si>
  <si>
    <t>NYANGE Sector Dry from shelter</t>
  </si>
  <si>
    <t>Gypsum</t>
  </si>
  <si>
    <t>Urea</t>
  </si>
  <si>
    <t>TOTAL</t>
  </si>
  <si>
    <t>Maize husk</t>
  </si>
  <si>
    <t>Total % N  Wet Make up</t>
  </si>
  <si>
    <t>Total % N Dry Make up</t>
  </si>
  <si>
    <t>Weight loss in pasteurization</t>
  </si>
  <si>
    <t>TOTAL WET straw</t>
  </si>
  <si>
    <t>TOTAL DRY straw</t>
  </si>
  <si>
    <t>% Moisture</t>
  </si>
  <si>
    <t>N % Dry Weight</t>
  </si>
  <si>
    <t>Feathers</t>
  </si>
  <si>
    <t>Draff - Skol</t>
  </si>
  <si>
    <t>Number of bales</t>
  </si>
  <si>
    <t>Weight per bale (kg)</t>
  </si>
  <si>
    <t>Breakdown of N sources</t>
  </si>
  <si>
    <t>N Sources</t>
  </si>
  <si>
    <t>CM-Abusol</t>
  </si>
  <si>
    <t>CM-Uzima "old"</t>
  </si>
  <si>
    <t>1st / 2nd CM</t>
  </si>
  <si>
    <t>Target number of bags</t>
  </si>
  <si>
    <t>Target fillweight</t>
  </si>
  <si>
    <t>Phase 2 Compost (kg)</t>
  </si>
  <si>
    <t>Phase 1 Compost (kg)</t>
  </si>
  <si>
    <t>Start straw kg (wet weight)</t>
  </si>
  <si>
    <t>1st CM % (CM and draff)</t>
  </si>
  <si>
    <t>2nd CM % (CM and draff)</t>
  </si>
  <si>
    <t>Maximum CM / ton straw (dry weight ratio)</t>
  </si>
  <si>
    <t>Maximum number of bags</t>
  </si>
  <si>
    <t>maximum bags</t>
  </si>
  <si>
    <t>MINIMUM % N Dry Make Up</t>
  </si>
  <si>
    <t>MAXIMUM % N Dry Make Up</t>
  </si>
  <si>
    <t>Maximum Draff full batch (kg dry weight)</t>
  </si>
  <si>
    <t>Kg Draff full batch (kg dry weight)</t>
  </si>
  <si>
    <t>UREA - prewetting</t>
  </si>
  <si>
    <t>UREA - in bunker</t>
  </si>
  <si>
    <t>TOTAL UREA</t>
  </si>
  <si>
    <t>TOTAL WET CM+draff</t>
  </si>
  <si>
    <t>Gypsum (wet weight)</t>
  </si>
  <si>
    <t>% Gypsum in 1st CM</t>
  </si>
  <si>
    <t>Kg prewet urea/ton straw (wet weight)</t>
  </si>
  <si>
    <t>Kg gypsum/ton straw (dry weight)</t>
  </si>
  <si>
    <t>Chicken Manure / ton straw (dry weight ratio)*</t>
  </si>
  <si>
    <t>Minimum CM / ton straw (dry weight ratio)**</t>
  </si>
  <si>
    <t>**: 500 is a guess. It would be good to know how low we can go, so we can get more draff, which might allow us to negotiate lower prices</t>
  </si>
  <si>
    <t>* Ideal is 500 / 600kg CM / ton straw (dry weight), max used to be set at 900 kg, now 750kg. That was with CM @ 3.5%</t>
  </si>
  <si>
    <t>Kg bunker urea/ton straw (wet weight)***</t>
  </si>
  <si>
    <t>*** It used to be Max 20 kg of urea for 3.2t of straws (6.25kg/ton) but with lower N CM's we have pushed Urea % up</t>
  </si>
  <si>
    <t>Moisture at make-up</t>
  </si>
  <si>
    <t>Moisture at purchase</t>
  </si>
  <si>
    <t>Cost/kg Wet at make-up</t>
  </si>
  <si>
    <t>Cost/kg Wet at purchase</t>
  </si>
  <si>
    <t>Cost Wet Weight (at make-up) (rwf/kg)</t>
  </si>
  <si>
    <t>Breakdown</t>
  </si>
  <si>
    <t>of N sources</t>
  </si>
  <si>
    <t>Straw</t>
  </si>
  <si>
    <t>CM</t>
  </si>
  <si>
    <t>Draff</t>
  </si>
  <si>
    <t>Straw Sources</t>
  </si>
  <si>
    <t xml:space="preserve">% N </t>
  </si>
  <si>
    <t>Expected Ratio Phase 1 / Start straw (wet kg)</t>
  </si>
  <si>
    <t>TOTAL DRY CM+draff</t>
  </si>
  <si>
    <t>Batch #</t>
  </si>
  <si>
    <t>Date of layout:</t>
  </si>
  <si>
    <t>Date of 1st Chicken</t>
  </si>
  <si>
    <t>Make-up done on:</t>
  </si>
  <si>
    <t>Present:</t>
  </si>
  <si>
    <t>Supplement sources</t>
  </si>
  <si>
    <t>Cost / kg Wet</t>
  </si>
  <si>
    <t>N sources</t>
  </si>
  <si>
    <t>Cost for batch with</t>
  </si>
  <si>
    <t>Supplements</t>
  </si>
  <si>
    <t>Cost of layout</t>
  </si>
  <si>
    <t>Cost</t>
  </si>
  <si>
    <t>breakdown</t>
  </si>
  <si>
    <t>WET weight (kg) at make-up for max bag batch</t>
  </si>
  <si>
    <t>Wet weight (kg) at make-up</t>
  </si>
  <si>
    <r>
      <rPr>
        <b/>
        <sz val="11"/>
        <rFont val="Calibri"/>
        <family val="2"/>
      </rPr>
      <t>purchase</t>
    </r>
    <r>
      <rPr>
        <sz val="11"/>
        <rFont val="Calibri"/>
        <family val="2"/>
      </rPr>
      <t>, max bags</t>
    </r>
  </si>
  <si>
    <r>
      <t xml:space="preserve">Weight </t>
    </r>
    <r>
      <rPr>
        <b/>
        <sz val="11"/>
        <color rgb="FF000000"/>
        <rFont val="Calibri"/>
        <family val="2"/>
      </rPr>
      <t>at</t>
    </r>
  </si>
  <si>
    <r>
      <rPr>
        <b/>
        <sz val="11"/>
        <rFont val="Calibri"/>
        <family val="2"/>
      </rPr>
      <t>purchase</t>
    </r>
    <r>
      <rPr>
        <sz val="11"/>
        <rFont val="Calibri"/>
        <family val="2"/>
      </rPr>
      <t>, current</t>
    </r>
  </si>
  <si>
    <t>Weight %</t>
  </si>
  <si>
    <r>
      <t>at</t>
    </r>
    <r>
      <rPr>
        <b/>
        <sz val="11"/>
        <rFont val="Calibri"/>
        <family val="2"/>
      </rPr>
      <t xml:space="preserve"> layout</t>
    </r>
  </si>
  <si>
    <t>Target</t>
  </si>
  <si>
    <t>Actual</t>
  </si>
  <si>
    <t>Number bags</t>
  </si>
  <si>
    <t>Fill weight</t>
  </si>
  <si>
    <t>Target yield per bag (kg)</t>
  </si>
  <si>
    <t>Phase II kg</t>
  </si>
  <si>
    <r>
      <t xml:space="preserve">Ratio </t>
    </r>
    <r>
      <rPr>
        <b/>
        <sz val="11"/>
        <color rgb="FF000000"/>
        <rFont val="Calibri"/>
        <family val="2"/>
      </rPr>
      <t>Phase II</t>
    </r>
    <r>
      <rPr>
        <sz val="11"/>
        <color rgb="FF000000"/>
        <rFont val="Calibri"/>
        <family val="2"/>
        <charset val="1"/>
      </rPr>
      <t xml:space="preserve"> / Start straw (wet kg)</t>
    </r>
  </si>
  <si>
    <r>
      <t xml:space="preserve">Ratio </t>
    </r>
    <r>
      <rPr>
        <b/>
        <sz val="11"/>
        <color rgb="FF000000"/>
        <rFont val="Calibri"/>
        <family val="2"/>
      </rPr>
      <t>Phase I</t>
    </r>
    <r>
      <rPr>
        <sz val="11"/>
        <color rgb="FF000000"/>
        <rFont val="Calibri"/>
        <family val="2"/>
        <charset val="1"/>
      </rPr>
      <t xml:space="preserve"> / Start straw (wet kg)</t>
    </r>
  </si>
  <si>
    <t>Oscar</t>
  </si>
  <si>
    <t>-</t>
  </si>
  <si>
    <t>Ph2/Startstraw</t>
  </si>
  <si>
    <t>Sylvan A-15</t>
  </si>
  <si>
    <t>Mycelia white</t>
  </si>
  <si>
    <t>Tina G3 white</t>
  </si>
  <si>
    <t>Spawn</t>
  </si>
  <si>
    <t>Number of bags</t>
  </si>
  <si>
    <t>Lambert white</t>
  </si>
  <si>
    <t>Tina G4 white</t>
  </si>
  <si>
    <t>Lambert brown</t>
  </si>
  <si>
    <t>Mycelia brown</t>
  </si>
  <si>
    <t>Sylvan Tuscan</t>
  </si>
  <si>
    <t>Amycel brown</t>
  </si>
  <si>
    <t>Total WHITE</t>
  </si>
  <si>
    <t>Total BROWN</t>
  </si>
  <si>
    <t xml:space="preserve">Total </t>
  </si>
  <si>
    <t>Spawn sourcers</t>
  </si>
  <si>
    <t>Currency</t>
  </si>
  <si>
    <t>ml/bag</t>
  </si>
  <si>
    <t>Liter</t>
  </si>
  <si>
    <t>RWF/Liter EXW</t>
  </si>
  <si>
    <t>EUR</t>
  </si>
  <si>
    <t>ZAR</t>
  </si>
  <si>
    <t>RWF/ZAR</t>
  </si>
  <si>
    <t>RWF/EUR</t>
  </si>
  <si>
    <t>Exchange rates</t>
  </si>
  <si>
    <t>RWF</t>
  </si>
  <si>
    <t>RWF/Liter Landed</t>
  </si>
  <si>
    <t>Ex works/Liter</t>
  </si>
  <si>
    <t>RWF/RWF</t>
  </si>
  <si>
    <t>Transport factor</t>
  </si>
  <si>
    <t>Used to be lower vefore COVID, now assumed the same from RSA and BRU</t>
  </si>
  <si>
    <t>times EXW</t>
  </si>
  <si>
    <t>EUR/Liter</t>
  </si>
  <si>
    <t>ZAR/Liter</t>
  </si>
  <si>
    <t>Cost/bag</t>
  </si>
  <si>
    <t>Cost RM/ bag</t>
  </si>
  <si>
    <t>Costs/bag</t>
  </si>
  <si>
    <t>Labor Compost</t>
  </si>
  <si>
    <t>Spawn White</t>
  </si>
  <si>
    <t>Spawn brown</t>
  </si>
  <si>
    <t>Peat</t>
  </si>
  <si>
    <t>Bag</t>
  </si>
  <si>
    <t>Make-up materials</t>
  </si>
  <si>
    <t>Cost/bag White</t>
  </si>
  <si>
    <t>Cost/bag Brown</t>
  </si>
  <si>
    <t>Yield/bag White</t>
  </si>
  <si>
    <t>Cost/kg White</t>
  </si>
  <si>
    <t>Cost/kg brown</t>
  </si>
  <si>
    <t>wet weight after partial drying (ie at make-up)</t>
  </si>
  <si>
    <t>Yield/bag Brown</t>
  </si>
  <si>
    <t>Harvest White</t>
  </si>
  <si>
    <t>Harvest Brown</t>
  </si>
  <si>
    <t>Cost/kg Brown</t>
  </si>
  <si>
    <t>*: Target inoculation</t>
  </si>
  <si>
    <t>Other inputs</t>
  </si>
  <si>
    <t>Price</t>
  </si>
  <si>
    <t>Peat (per ton)</t>
  </si>
  <si>
    <t>Bags/unit</t>
  </si>
  <si>
    <t>Transport</t>
  </si>
  <si>
    <t>CM-Zamura-wd</t>
  </si>
  <si>
    <t>CM-Zamura-rc</t>
  </si>
  <si>
    <t>Draff - Bralirwa</t>
  </si>
  <si>
    <t>kg Draff / ton straw (wet/wet)</t>
  </si>
  <si>
    <t>kg Draff / ton straw (wet/wet) max</t>
  </si>
  <si>
    <t>NYANGE Sector outside</t>
  </si>
  <si>
    <t>Baptiste</t>
  </si>
  <si>
    <t>CM-Zamura-pure</t>
  </si>
  <si>
    <t>CM-Peal-Pure</t>
  </si>
  <si>
    <r>
      <rPr>
        <b/>
        <u/>
        <sz val="11"/>
        <color rgb="FF000000"/>
        <rFont val="Calibri"/>
        <family val="2"/>
      </rPr>
      <t>Explanation for 16T of straws</t>
    </r>
    <r>
      <rPr>
        <sz val="11"/>
        <color rgb="FF000000"/>
        <rFont val="Calibri"/>
        <family val="2"/>
        <charset val="1"/>
      </rPr>
      <t xml:space="preserve"> we need to search a solution for a weekly batch that is why we try a smaller batch in order to have a good experience with clearing in 7days</t>
    </r>
  </si>
  <si>
    <t>22-27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</si>
</sst>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\-??_);_(@_)"/>
    <numFmt numFmtId="165" formatCode="_(* #,##0_);_(* \(#,##0\);_(* \-??_);_(@_)"/>
    <numFmt numFmtId="166" formatCode="_(* #,##0.0_);_(* \(#,##0.0\);_(* \-??_);_(@_)"/>
    <numFmt numFmtId="167" formatCode="_(* #,##0_);_(* \(#,##0\);_(* &quot;-&quot;??_);_(@_)"/>
    <numFmt numFmtId="168" formatCode="[$-409]d\-mmm\-yy;@"/>
    <numFmt numFmtId="169" formatCode="ddd\,\ [$-409]d\-mmm\-yy;@"/>
  </numFmts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i/>
      <sz val="11"/>
      <name val="Calibri"/>
      <family val="2"/>
    </font>
    <font>
      <b/>
      <u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231">
    <xf numFmtId="0" fontId="0" fillId="0" borderId="0" xfId="0"/>
    <xf numFmtId="0" fontId="0" fillId="0" borderId="2" xfId="0" applyFont="1" applyBorder="1"/>
    <xf numFmtId="165" fontId="0" fillId="0" borderId="2" xfId="1" applyNumberFormat="1" applyFont="1" applyBorder="1" applyAlignment="1" applyProtection="1"/>
    <xf numFmtId="0" fontId="2" fillId="0" borderId="2" xfId="0" applyFont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2" fillId="0" borderId="2" xfId="2" applyFont="1" applyBorder="1" applyAlignment="1" applyProtection="1">
      <alignment horizontal="center"/>
    </xf>
    <xf numFmtId="165" fontId="5" fillId="0" borderId="2" xfId="1" applyNumberFormat="1" applyBorder="1" applyProtection="1"/>
    <xf numFmtId="165" fontId="5" fillId="0" borderId="2" xfId="1" applyNumberFormat="1" applyBorder="1"/>
    <xf numFmtId="0" fontId="0" fillId="0" borderId="0" xfId="0" applyBorder="1" applyAlignment="1">
      <alignment horizontal="center"/>
    </xf>
    <xf numFmtId="10" fontId="4" fillId="0" borderId="0" xfId="2" applyNumberFormat="1" applyFont="1" applyFill="1" applyBorder="1" applyAlignment="1" applyProtection="1">
      <alignment horizontal="center"/>
    </xf>
    <xf numFmtId="9" fontId="0" fillId="0" borderId="0" xfId="2" applyNumberFormat="1" applyFont="1" applyFill="1" applyBorder="1" applyAlignment="1" applyProtection="1"/>
    <xf numFmtId="9" fontId="5" fillId="0" borderId="2" xfId="2" applyBorder="1" applyProtection="1"/>
    <xf numFmtId="165" fontId="5" fillId="0" borderId="0" xfId="1" applyNumberFormat="1" applyBorder="1" applyProtection="1"/>
    <xf numFmtId="9" fontId="5" fillId="0" borderId="0" xfId="2" applyBorder="1" applyProtection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165" fontId="7" fillId="2" borderId="2" xfId="1" applyNumberFormat="1" applyFont="1" applyFill="1" applyBorder="1" applyAlignment="1" applyProtection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165" fontId="7" fillId="2" borderId="2" xfId="0" applyNumberFormat="1" applyFont="1" applyFill="1" applyBorder="1"/>
    <xf numFmtId="0" fontId="11" fillId="2" borderId="2" xfId="0" applyFont="1" applyFill="1" applyBorder="1"/>
    <xf numFmtId="10" fontId="11" fillId="2" borderId="2" xfId="2" applyNumberFormat="1" applyFont="1" applyFill="1" applyBorder="1" applyAlignment="1" applyProtection="1"/>
    <xf numFmtId="0" fontId="1" fillId="2" borderId="2" xfId="0" applyFont="1" applyFill="1" applyBorder="1"/>
    <xf numFmtId="10" fontId="4" fillId="2" borderId="2" xfId="2" applyNumberFormat="1" applyFont="1" applyFill="1" applyBorder="1" applyAlignment="1" applyProtection="1"/>
    <xf numFmtId="10" fontId="4" fillId="2" borderId="2" xfId="2" applyNumberFormat="1" applyFont="1" applyFill="1" applyBorder="1" applyAlignment="1" applyProtection="1">
      <alignment horizontal="right"/>
    </xf>
    <xf numFmtId="165" fontId="9" fillId="3" borderId="1" xfId="1" applyNumberFormat="1" applyFont="1" applyFill="1" applyBorder="1" applyProtection="1"/>
    <xf numFmtId="0" fontId="8" fillId="3" borderId="1" xfId="0" applyFont="1" applyFill="1" applyBorder="1" applyAlignment="1">
      <alignment horizontal="center" vertical="center" wrapText="1"/>
    </xf>
    <xf numFmtId="9" fontId="5" fillId="0" borderId="2" xfId="2" applyBorder="1"/>
    <xf numFmtId="10" fontId="0" fillId="0" borderId="0" xfId="0" applyNumberFormat="1" applyBorder="1"/>
    <xf numFmtId="0" fontId="0" fillId="0" borderId="0" xfId="0" applyAlignment="1">
      <alignment wrapText="1"/>
    </xf>
    <xf numFmtId="9" fontId="0" fillId="0" borderId="0" xfId="0" applyNumberFormat="1" applyBorder="1"/>
    <xf numFmtId="0" fontId="1" fillId="0" borderId="1" xfId="0" applyFont="1" applyBorder="1" applyAlignment="1">
      <alignment horizontal="center" vertical="center" wrapText="1"/>
    </xf>
    <xf numFmtId="165" fontId="5" fillId="0" borderId="1" xfId="1" applyNumberFormat="1" applyBorder="1" applyProtection="1"/>
    <xf numFmtId="10" fontId="11" fillId="0" borderId="0" xfId="2" applyNumberFormat="1" applyFont="1" applyFill="1" applyBorder="1" applyAlignment="1" applyProtection="1"/>
    <xf numFmtId="10" fontId="4" fillId="0" borderId="0" xfId="2" applyNumberFormat="1" applyFont="1" applyFill="1" applyBorder="1" applyAlignment="1" applyProtection="1"/>
    <xf numFmtId="0" fontId="0" fillId="0" borderId="0" xfId="0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165" fontId="9" fillId="0" borderId="1" xfId="1" applyNumberFormat="1" applyFont="1" applyFill="1" applyBorder="1" applyProtection="1"/>
    <xf numFmtId="0" fontId="12" fillId="0" borderId="2" xfId="0" applyFont="1" applyFill="1" applyBorder="1"/>
    <xf numFmtId="9" fontId="0" fillId="0" borderId="0" xfId="2" applyFont="1" applyFill="1" applyBorder="1" applyAlignment="1" applyProtection="1"/>
    <xf numFmtId="0" fontId="0" fillId="0" borderId="0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165" fontId="5" fillId="0" borderId="0" xfId="1" applyNumberFormat="1" applyBorder="1"/>
    <xf numFmtId="165" fontId="6" fillId="0" borderId="2" xfId="1" applyNumberFormat="1" applyFont="1" applyBorder="1"/>
    <xf numFmtId="0" fontId="1" fillId="4" borderId="2" xfId="0" applyFont="1" applyFill="1" applyBorder="1" applyAlignment="1">
      <alignment horizontal="center" vertical="center" wrapText="1"/>
    </xf>
    <xf numFmtId="165" fontId="2" fillId="4" borderId="2" xfId="1" applyNumberFormat="1" applyFont="1" applyFill="1" applyBorder="1" applyAlignment="1" applyProtection="1"/>
    <xf numFmtId="165" fontId="5" fillId="4" borderId="2" xfId="1" applyNumberFormat="1" applyFill="1" applyBorder="1" applyProtection="1"/>
    <xf numFmtId="0" fontId="2" fillId="4" borderId="2" xfId="0" applyFont="1" applyFill="1" applyBorder="1"/>
    <xf numFmtId="0" fontId="0" fillId="2" borderId="2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165" fontId="0" fillId="0" borderId="0" xfId="0" applyNumberFormat="1" applyFill="1" applyBorder="1"/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5" fillId="0" borderId="0" xfId="1" applyNumberFormat="1" applyBorder="1"/>
    <xf numFmtId="167" fontId="2" fillId="0" borderId="2" xfId="1" applyNumberFormat="1" applyFont="1" applyFill="1" applyBorder="1" applyAlignment="1" applyProtection="1"/>
    <xf numFmtId="165" fontId="2" fillId="0" borderId="2" xfId="1" applyNumberFormat="1" applyFont="1" applyFill="1" applyBorder="1" applyAlignment="1" applyProtection="1"/>
    <xf numFmtId="166" fontId="5" fillId="0" borderId="2" xfId="1" applyNumberFormat="1" applyBorder="1" applyProtection="1"/>
    <xf numFmtId="165" fontId="5" fillId="0" borderId="0" xfId="1" applyNumberFormat="1" applyFill="1" applyBorder="1"/>
    <xf numFmtId="0" fontId="0" fillId="0" borderId="0" xfId="0" applyFont="1" applyBorder="1"/>
    <xf numFmtId="0" fontId="3" fillId="0" borderId="0" xfId="0" applyFont="1" applyBorder="1" applyAlignment="1">
      <alignment horizontal="right"/>
    </xf>
    <xf numFmtId="165" fontId="5" fillId="3" borderId="2" xfId="1" applyNumberFormat="1" applyFill="1" applyBorder="1"/>
    <xf numFmtId="0" fontId="6" fillId="0" borderId="2" xfId="0" applyFont="1" applyFill="1" applyBorder="1" applyAlignment="1">
      <alignment horizontal="left"/>
    </xf>
    <xf numFmtId="165" fontId="6" fillId="0" borderId="2" xfId="1" applyNumberFormat="1" applyFont="1" applyFill="1" applyBorder="1"/>
    <xf numFmtId="0" fontId="6" fillId="0" borderId="7" xfId="0" applyFont="1" applyFill="1" applyBorder="1" applyAlignment="1">
      <alignment horizontal="left"/>
    </xf>
    <xf numFmtId="165" fontId="6" fillId="0" borderId="8" xfId="1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0" fillId="0" borderId="0" xfId="0" applyFont="1"/>
    <xf numFmtId="0" fontId="0" fillId="3" borderId="9" xfId="0" applyFill="1" applyBorder="1" applyAlignment="1">
      <alignment horizontal="center"/>
    </xf>
    <xf numFmtId="10" fontId="13" fillId="3" borderId="10" xfId="2" applyNumberFormat="1" applyFont="1" applyFill="1" applyBorder="1" applyAlignment="1" applyProtection="1">
      <alignment horizontal="center"/>
    </xf>
    <xf numFmtId="0" fontId="0" fillId="0" borderId="3" xfId="0" applyBorder="1"/>
    <xf numFmtId="9" fontId="5" fillId="0" borderId="4" xfId="2" applyBorder="1"/>
    <xf numFmtId="0" fontId="0" fillId="0" borderId="5" xfId="0" applyBorder="1"/>
    <xf numFmtId="0" fontId="0" fillId="3" borderId="7" xfId="0" applyFont="1" applyFill="1" applyBorder="1"/>
    <xf numFmtId="0" fontId="0" fillId="3" borderId="3" xfId="0" applyFill="1" applyBorder="1"/>
    <xf numFmtId="0" fontId="0" fillId="0" borderId="6" xfId="0" applyBorder="1"/>
    <xf numFmtId="0" fontId="0" fillId="3" borderId="5" xfId="0" applyFill="1" applyBorder="1"/>
    <xf numFmtId="9" fontId="0" fillId="3" borderId="6" xfId="0" applyNumberFormat="1" applyFill="1" applyBorder="1"/>
    <xf numFmtId="10" fontId="0" fillId="0" borderId="2" xfId="2" applyNumberFormat="1" applyFont="1" applyBorder="1" applyAlignment="1" applyProtection="1">
      <alignment horizontal="center"/>
    </xf>
    <xf numFmtId="9" fontId="0" fillId="0" borderId="2" xfId="2" applyNumberFormat="1" applyFont="1" applyBorder="1" applyAlignment="1" applyProtection="1">
      <alignment horizontal="center"/>
    </xf>
    <xf numFmtId="0" fontId="0" fillId="4" borderId="2" xfId="0" applyFont="1" applyFill="1" applyBorder="1"/>
    <xf numFmtId="10" fontId="0" fillId="0" borderId="2" xfId="2" applyNumberFormat="1" applyFont="1" applyFill="1" applyBorder="1" applyAlignment="1" applyProtection="1">
      <alignment horizontal="center"/>
    </xf>
    <xf numFmtId="9" fontId="0" fillId="0" borderId="2" xfId="2" applyNumberFormat="1" applyFont="1" applyFill="1" applyBorder="1" applyAlignment="1" applyProtection="1">
      <alignment horizontal="center"/>
    </xf>
    <xf numFmtId="165" fontId="5" fillId="0" borderId="1" xfId="1" applyNumberFormat="1" applyFill="1" applyBorder="1" applyAlignment="1" applyProtection="1">
      <alignment vertical="center"/>
    </xf>
    <xf numFmtId="0" fontId="2" fillId="0" borderId="2" xfId="0" applyFont="1" applyFill="1" applyBorder="1"/>
    <xf numFmtId="0" fontId="6" fillId="0" borderId="7" xfId="0" applyFont="1" applyBorder="1" applyAlignment="1">
      <alignment wrapText="1"/>
    </xf>
    <xf numFmtId="0" fontId="0" fillId="0" borderId="12" xfId="0" applyBorder="1" applyAlignment="1">
      <alignment horizontal="right" wrapText="1"/>
    </xf>
    <xf numFmtId="0" fontId="0" fillId="0" borderId="12" xfId="0" applyBorder="1"/>
    <xf numFmtId="0" fontId="0" fillId="0" borderId="8" xfId="0" applyBorder="1"/>
    <xf numFmtId="0" fontId="0" fillId="0" borderId="4" xfId="0" applyBorder="1"/>
    <xf numFmtId="10" fontId="0" fillId="0" borderId="13" xfId="0" applyNumberFormat="1" applyBorder="1"/>
    <xf numFmtId="9" fontId="0" fillId="0" borderId="13" xfId="0" applyNumberFormat="1" applyBorder="1"/>
    <xf numFmtId="165" fontId="5" fillId="5" borderId="13" xfId="1" applyNumberFormat="1" applyFill="1" applyBorder="1"/>
    <xf numFmtId="165" fontId="5" fillId="0" borderId="13" xfId="1" applyNumberFormat="1" applyBorder="1"/>
    <xf numFmtId="0" fontId="0" fillId="0" borderId="13" xfId="0" applyBorder="1"/>
    <xf numFmtId="0" fontId="0" fillId="0" borderId="3" xfId="0" applyFont="1" applyBorder="1"/>
    <xf numFmtId="0" fontId="0" fillId="0" borderId="5" xfId="0" applyFont="1" applyBorder="1"/>
    <xf numFmtId="164" fontId="5" fillId="0" borderId="2" xfId="1" applyNumberFormat="1" applyBorder="1" applyProtection="1"/>
    <xf numFmtId="0" fontId="0" fillId="0" borderId="15" xfId="0" applyFont="1" applyBorder="1"/>
    <xf numFmtId="165" fontId="5" fillId="0" borderId="9" xfId="1" applyNumberFormat="1" applyBorder="1" applyProtection="1"/>
    <xf numFmtId="165" fontId="5" fillId="0" borderId="11" xfId="1" applyNumberFormat="1" applyBorder="1" applyProtection="1"/>
    <xf numFmtId="166" fontId="5" fillId="4" borderId="14" xfId="1" applyNumberFormat="1" applyFill="1" applyBorder="1" applyProtection="1"/>
    <xf numFmtId="0" fontId="6" fillId="0" borderId="7" xfId="0" applyFont="1" applyBorder="1"/>
    <xf numFmtId="0" fontId="6" fillId="3" borderId="16" xfId="0" applyFont="1" applyFill="1" applyBorder="1"/>
    <xf numFmtId="0" fontId="6" fillId="3" borderId="18" xfId="0" applyFont="1" applyFill="1" applyBorder="1"/>
    <xf numFmtId="0" fontId="6" fillId="3" borderId="20" xfId="0" applyFont="1" applyFill="1" applyBorder="1"/>
    <xf numFmtId="0" fontId="0" fillId="0" borderId="3" xfId="0" applyFont="1" applyFill="1" applyBorder="1"/>
    <xf numFmtId="0" fontId="0" fillId="0" borderId="5" xfId="0" applyFont="1" applyFill="1" applyBorder="1"/>
    <xf numFmtId="10" fontId="13" fillId="0" borderId="3" xfId="2" applyNumberFormat="1" applyFont="1" applyFill="1" applyBorder="1" applyAlignment="1" applyProtection="1"/>
    <xf numFmtId="165" fontId="12" fillId="0" borderId="4" xfId="1" applyNumberFormat="1" applyFont="1" applyBorder="1"/>
    <xf numFmtId="10" fontId="11" fillId="3" borderId="7" xfId="2" applyNumberFormat="1" applyFont="1" applyFill="1" applyBorder="1" applyAlignment="1" applyProtection="1"/>
    <xf numFmtId="165" fontId="12" fillId="3" borderId="6" xfId="0" applyNumberFormat="1" applyFont="1" applyFill="1" applyBorder="1"/>
    <xf numFmtId="165" fontId="6" fillId="0" borderId="4" xfId="1" applyNumberFormat="1" applyFont="1" applyBorder="1"/>
    <xf numFmtId="165" fontId="5" fillId="0" borderId="4" xfId="1" applyNumberFormat="1" applyBorder="1"/>
    <xf numFmtId="165" fontId="5" fillId="0" borderId="6" xfId="1" applyNumberFormat="1" applyBorder="1"/>
    <xf numFmtId="9" fontId="5" fillId="3" borderId="13" xfId="2" applyFill="1" applyBorder="1" applyProtection="1"/>
    <xf numFmtId="10" fontId="13" fillId="3" borderId="5" xfId="2" applyNumberFormat="1" applyFont="1" applyFill="1" applyBorder="1" applyAlignment="1" applyProtection="1"/>
    <xf numFmtId="0" fontId="0" fillId="3" borderId="8" xfId="0" applyFill="1" applyBorder="1" applyAlignment="1">
      <alignment horizontal="center"/>
    </xf>
    <xf numFmtId="10" fontId="13" fillId="3" borderId="4" xfId="2" applyNumberFormat="1" applyFont="1" applyFill="1" applyBorder="1" applyAlignment="1" applyProtection="1">
      <alignment horizontal="center"/>
    </xf>
    <xf numFmtId="167" fontId="0" fillId="0" borderId="4" xfId="0" applyNumberFormat="1" applyBorder="1"/>
    <xf numFmtId="10" fontId="4" fillId="3" borderId="7" xfId="2" applyNumberFormat="1" applyFont="1" applyFill="1" applyBorder="1" applyAlignment="1" applyProtection="1">
      <alignment horizontal="center"/>
    </xf>
    <xf numFmtId="165" fontId="5" fillId="3" borderId="12" xfId="1" applyNumberFormat="1" applyFill="1" applyBorder="1" applyProtection="1"/>
    <xf numFmtId="10" fontId="4" fillId="3" borderId="3" xfId="2" applyNumberFormat="1" applyFont="1" applyFill="1" applyBorder="1" applyAlignment="1" applyProtection="1">
      <alignment horizontal="center"/>
    </xf>
    <xf numFmtId="165" fontId="5" fillId="3" borderId="0" xfId="1" applyNumberFormat="1" applyFill="1" applyBorder="1" applyProtection="1"/>
    <xf numFmtId="0" fontId="0" fillId="3" borderId="13" xfId="0" applyFill="1" applyBorder="1"/>
    <xf numFmtId="167" fontId="0" fillId="3" borderId="6" xfId="0" applyNumberFormat="1" applyFill="1" applyBorder="1"/>
    <xf numFmtId="167" fontId="0" fillId="0" borderId="10" xfId="0" applyNumberFormat="1" applyBorder="1"/>
    <xf numFmtId="0" fontId="6" fillId="3" borderId="0" xfId="0" applyFont="1" applyFill="1" applyBorder="1"/>
    <xf numFmtId="0" fontId="6" fillId="3" borderId="22" xfId="0" applyFont="1" applyFill="1" applyBorder="1"/>
    <xf numFmtId="168" fontId="6" fillId="3" borderId="0" xfId="0" applyNumberFormat="1" applyFont="1" applyFill="1" applyBorder="1"/>
    <xf numFmtId="0" fontId="6" fillId="3" borderId="23" xfId="0" applyFont="1" applyFill="1" applyBorder="1"/>
    <xf numFmtId="0" fontId="0" fillId="4" borderId="19" xfId="0" applyFill="1" applyBorder="1"/>
    <xf numFmtId="0" fontId="0" fillId="4" borderId="21" xfId="0" applyFill="1" applyBorder="1"/>
    <xf numFmtId="167" fontId="0" fillId="3" borderId="11" xfId="0" applyNumberFormat="1" applyFill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165" fontId="11" fillId="0" borderId="2" xfId="0" applyNumberFormat="1" applyFont="1" applyBorder="1" applyAlignment="1">
      <alignment horizontal="center"/>
    </xf>
    <xf numFmtId="165" fontId="16" fillId="3" borderId="2" xfId="1" applyNumberFormat="1" applyFont="1" applyFill="1" applyBorder="1" applyAlignment="1" applyProtection="1"/>
    <xf numFmtId="165" fontId="16" fillId="0" borderId="2" xfId="1" applyNumberFormat="1" applyFont="1" applyFill="1" applyBorder="1" applyAlignment="1" applyProtection="1"/>
    <xf numFmtId="165" fontId="11" fillId="0" borderId="2" xfId="1" applyNumberFormat="1" applyFont="1" applyFill="1" applyBorder="1" applyAlignment="1" applyProtection="1"/>
    <xf numFmtId="165" fontId="11" fillId="0" borderId="2" xfId="1" applyNumberFormat="1" applyFont="1" applyBorder="1" applyAlignment="1" applyProtection="1"/>
    <xf numFmtId="1" fontId="11" fillId="0" borderId="2" xfId="0" applyNumberFormat="1" applyFont="1" applyBorder="1"/>
    <xf numFmtId="1" fontId="11" fillId="3" borderId="2" xfId="0" applyNumberFormat="1" applyFont="1" applyFill="1" applyBorder="1"/>
    <xf numFmtId="9" fontId="6" fillId="0" borderId="2" xfId="2" applyFont="1" applyBorder="1"/>
    <xf numFmtId="9" fontId="5" fillId="0" borderId="10" xfId="2" applyBorder="1"/>
    <xf numFmtId="9" fontId="0" fillId="3" borderId="11" xfId="0" applyNumberFormat="1" applyFill="1" applyBorder="1"/>
    <xf numFmtId="0" fontId="6" fillId="0" borderId="7" xfId="0" applyFont="1" applyFill="1" applyBorder="1"/>
    <xf numFmtId="0" fontId="0" fillId="0" borderId="2" xfId="0" applyBorder="1"/>
    <xf numFmtId="166" fontId="5" fillId="4" borderId="2" xfId="1" applyNumberFormat="1" applyFill="1" applyBorder="1"/>
    <xf numFmtId="9" fontId="0" fillId="0" borderId="3" xfId="0" applyNumberFormat="1" applyBorder="1"/>
    <xf numFmtId="0" fontId="0" fillId="3" borderId="7" xfId="0" applyFill="1" applyBorder="1"/>
    <xf numFmtId="166" fontId="5" fillId="0" borderId="0" xfId="1" applyNumberFormat="1" applyBorder="1"/>
    <xf numFmtId="165" fontId="5" fillId="3" borderId="13" xfId="1" applyNumberFormat="1" applyFill="1" applyBorder="1"/>
    <xf numFmtId="165" fontId="5" fillId="3" borderId="6" xfId="1" applyNumberFormat="1" applyFill="1" applyBorder="1"/>
    <xf numFmtId="165" fontId="5" fillId="4" borderId="4" xfId="1" applyNumberFormat="1" applyFill="1" applyBorder="1"/>
    <xf numFmtId="0" fontId="0" fillId="4" borderId="17" xfId="0" applyFill="1" applyBorder="1" applyAlignment="1">
      <alignment horizontal="center"/>
    </xf>
    <xf numFmtId="169" fontId="0" fillId="4" borderId="19" xfId="0" applyNumberFormat="1" applyFill="1" applyBorder="1" applyAlignment="1">
      <alignment wrapText="1"/>
    </xf>
    <xf numFmtId="166" fontId="5" fillId="4" borderId="4" xfId="1" applyNumberFormat="1" applyFill="1" applyBorder="1"/>
    <xf numFmtId="164" fontId="5" fillId="0" borderId="0" xfId="1" applyBorder="1"/>
    <xf numFmtId="164" fontId="5" fillId="0" borderId="4" xfId="1" applyBorder="1"/>
    <xf numFmtId="166" fontId="5" fillId="5" borderId="2" xfId="1" applyNumberFormat="1" applyFill="1" applyBorder="1" applyProtection="1"/>
    <xf numFmtId="165" fontId="5" fillId="0" borderId="0" xfId="1" applyNumberFormat="1" applyBorder="1"/>
    <xf numFmtId="166" fontId="5" fillId="0" borderId="4" xfId="1" applyNumberFormat="1" applyBorder="1"/>
    <xf numFmtId="0" fontId="0" fillId="0" borderId="3" xfId="0" applyBorder="1" applyAlignment="1">
      <alignment wrapText="1"/>
    </xf>
    <xf numFmtId="165" fontId="5" fillId="3" borderId="4" xfId="1" applyNumberFormat="1" applyFill="1" applyBorder="1"/>
    <xf numFmtId="0" fontId="0" fillId="4" borderId="4" xfId="0" applyFill="1" applyBorder="1"/>
    <xf numFmtId="0" fontId="12" fillId="0" borderId="0" xfId="0" applyFont="1" applyFill="1" applyBorder="1" applyAlignment="1">
      <alignment horizontal="left" vertical="top" wrapText="1"/>
    </xf>
    <xf numFmtId="165" fontId="5" fillId="3" borderId="0" xfId="1" applyNumberFormat="1" applyFill="1" applyBorder="1"/>
    <xf numFmtId="0" fontId="6" fillId="0" borderId="12" xfId="0" applyFont="1" applyBorder="1" applyAlignment="1">
      <alignment horizontal="right" wrapText="1"/>
    </xf>
    <xf numFmtId="0" fontId="6" fillId="0" borderId="8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2" xfId="0" applyFont="1" applyBorder="1"/>
    <xf numFmtId="0" fontId="6" fillId="0" borderId="8" xfId="0" applyFont="1" applyBorder="1" applyAlignment="1">
      <alignment horizontal="right"/>
    </xf>
    <xf numFmtId="165" fontId="5" fillId="4" borderId="0" xfId="1" applyNumberFormat="1" applyFill="1" applyBorder="1"/>
    <xf numFmtId="164" fontId="5" fillId="0" borderId="0" xfId="1" applyNumberFormat="1" applyBorder="1"/>
    <xf numFmtId="164" fontId="5" fillId="0" borderId="13" xfId="1" applyNumberFormat="1" applyBorder="1"/>
    <xf numFmtId="164" fontId="5" fillId="6" borderId="0" xfId="1" applyNumberFormat="1" applyFill="1" applyBorder="1"/>
    <xf numFmtId="166" fontId="5" fillId="0" borderId="0" xfId="1" applyNumberFormat="1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166" fontId="5" fillId="0" borderId="13" xfId="1" applyNumberFormat="1" applyFill="1" applyBorder="1"/>
    <xf numFmtId="0" fontId="0" fillId="0" borderId="0" xfId="0" applyFill="1" applyBorder="1" applyAlignment="1">
      <alignment vertical="top" wrapText="1"/>
    </xf>
    <xf numFmtId="167" fontId="0" fillId="0" borderId="0" xfId="0" applyNumberFormat="1" applyBorder="1"/>
    <xf numFmtId="0" fontId="6" fillId="3" borderId="7" xfId="0" applyFont="1" applyFill="1" applyBorder="1" applyAlignment="1">
      <alignment wrapText="1"/>
    </xf>
    <xf numFmtId="0" fontId="6" fillId="3" borderId="7" xfId="0" applyFont="1" applyFill="1" applyBorder="1"/>
    <xf numFmtId="0" fontId="6" fillId="3" borderId="12" xfId="0" applyFont="1" applyFill="1" applyBorder="1" applyAlignment="1">
      <alignment horizontal="right"/>
    </xf>
    <xf numFmtId="0" fontId="6" fillId="3" borderId="12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wrapText="1"/>
    </xf>
    <xf numFmtId="0" fontId="6" fillId="3" borderId="12" xfId="0" applyFont="1" applyFill="1" applyBorder="1"/>
    <xf numFmtId="0" fontId="6" fillId="3" borderId="8" xfId="0" applyFont="1" applyFill="1" applyBorder="1"/>
    <xf numFmtId="10" fontId="11" fillId="3" borderId="12" xfId="2" applyNumberFormat="1" applyFont="1" applyFill="1" applyBorder="1" applyAlignment="1" applyProtection="1"/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165" fontId="6" fillId="3" borderId="8" xfId="1" applyNumberFormat="1" applyFont="1" applyFill="1" applyBorder="1"/>
    <xf numFmtId="0" fontId="6" fillId="3" borderId="4" xfId="0" applyFont="1" applyFill="1" applyBorder="1"/>
    <xf numFmtId="0" fontId="6" fillId="3" borderId="12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165" fontId="5" fillId="3" borderId="4" xfId="1" applyNumberForma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164" fontId="0" fillId="0" borderId="0" xfId="0" applyNumberFormat="1" applyBorder="1"/>
    <xf numFmtId="165" fontId="5" fillId="0" borderId="0" xfId="1" applyNumberFormat="1" applyBorder="1"/>
    <xf numFmtId="3" fontId="0" fillId="0" borderId="13" xfId="0" applyNumberFormat="1" applyBorder="1"/>
    <xf numFmtId="165" fontId="5" fillId="6" borderId="0" xfId="1" applyNumberFormat="1" applyFill="1" applyBorder="1"/>
    <xf numFmtId="165" fontId="5" fillId="0" borderId="0" xfId="1" applyNumberFormat="1" applyBorder="1"/>
    <xf numFmtId="165" fontId="5" fillId="0" borderId="0" xfId="1" applyNumberFormat="1" applyBorder="1"/>
    <xf numFmtId="167" fontId="3" fillId="0" borderId="0" xfId="0" applyNumberFormat="1" applyFont="1" applyBorder="1" applyAlignment="1">
      <alignment horizontal="right"/>
    </xf>
    <xf numFmtId="165" fontId="5" fillId="0" borderId="0" xfId="1" applyNumberFormat="1" applyBorder="1"/>
    <xf numFmtId="165" fontId="5" fillId="0" borderId="0" xfId="1" applyNumberFormat="1" applyBorder="1"/>
    <xf numFmtId="10" fontId="18" fillId="0" borderId="0" xfId="2" applyNumberFormat="1" applyFont="1" applyFill="1" applyBorder="1" applyAlignment="1" applyProtection="1">
      <alignment horizontal="center"/>
    </xf>
    <xf numFmtId="165" fontId="0" fillId="0" borderId="0" xfId="0" applyNumberFormat="1" applyFill="1" applyBorder="1" applyAlignment="1">
      <alignment horizontal="center" vertical="center"/>
    </xf>
    <xf numFmtId="2" fontId="5" fillId="0" borderId="0" xfId="2" applyNumberFormat="1" applyBorder="1"/>
    <xf numFmtId="0" fontId="12" fillId="4" borderId="7" xfId="0" applyFont="1" applyFill="1" applyBorder="1" applyAlignment="1">
      <alignment horizontal="left" vertical="top" wrapText="1"/>
    </xf>
    <xf numFmtId="0" fontId="12" fillId="4" borderId="8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5" xfId="0" applyFont="1" applyFill="1" applyBorder="1" applyAlignment="1">
      <alignment horizontal="left" vertical="top" wrapText="1"/>
    </xf>
    <xf numFmtId="0" fontId="12" fillId="4" borderId="6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5" fontId="5" fillId="0" borderId="0" xfId="1" applyNumberFormat="1" applyBorder="1"/>
  </cellXfs>
  <cellStyles count="3">
    <cellStyle name="Comma" xfId="1" builtinId="3"/>
    <cellStyle name="Normal" xfId="0" builtinId="0"/>
    <cellStyle name="Percent" xfId="2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06"/>
  <sheetViews>
    <sheetView showGridLines="0" tabSelected="1" topLeftCell="A2" zoomScale="80" zoomScaleNormal="80" zoomScalePageLayoutView="106" workbookViewId="0">
      <selection activeCell="H16" sqref="H16"/>
    </sheetView>
  </sheetViews>
  <sheetFormatPr defaultColWidth="9.140625" defaultRowHeight="15" x14ac:dyDescent="0.25"/>
  <cols>
    <col min="1" max="1" width="43.5703125" customWidth="1"/>
    <col min="2" max="2" width="13.7109375" customWidth="1"/>
    <col min="3" max="3" width="21.140625" bestFit="1" customWidth="1"/>
    <col min="4" max="4" width="11.85546875" customWidth="1"/>
    <col min="5" max="5" width="11.28515625" customWidth="1"/>
    <col min="6" max="6" width="15.85546875" customWidth="1"/>
    <col min="7" max="7" width="10.140625" customWidth="1"/>
    <col min="8" max="8" width="14.140625" customWidth="1"/>
    <col min="9" max="9" width="11.140625" customWidth="1"/>
    <col min="10" max="10" width="12.140625" customWidth="1"/>
    <col min="11" max="11" width="14.85546875" customWidth="1"/>
    <col min="12" max="12" width="12.28515625" customWidth="1"/>
    <col min="13" max="13" width="25" bestFit="1" customWidth="1"/>
    <col min="14" max="14" width="11.85546875" customWidth="1"/>
    <col min="15" max="1025" width="9.140625" customWidth="1"/>
  </cols>
  <sheetData>
    <row r="1" spans="1:14" s="20" customFormat="1" x14ac:dyDescent="0.25">
      <c r="A1" s="228"/>
      <c r="B1" s="228"/>
      <c r="C1" s="228"/>
      <c r="D1" s="228"/>
      <c r="E1" s="228"/>
      <c r="F1" s="228"/>
      <c r="G1" s="228"/>
      <c r="H1" s="228"/>
      <c r="I1" s="228"/>
    </row>
    <row r="2" spans="1:14" s="18" customFormat="1" ht="60.95" customHeight="1" x14ac:dyDescent="0.25">
      <c r="A2" s="17"/>
      <c r="B2" s="19" t="s">
        <v>63</v>
      </c>
      <c r="C2" s="19" t="s">
        <v>13</v>
      </c>
      <c r="D2" s="37" t="s">
        <v>56</v>
      </c>
      <c r="E2" s="37" t="s">
        <v>76</v>
      </c>
      <c r="F2" s="32" t="s">
        <v>79</v>
      </c>
      <c r="G2" s="42" t="s">
        <v>23</v>
      </c>
      <c r="H2" s="50" t="s">
        <v>80</v>
      </c>
      <c r="I2" s="19" t="s">
        <v>0</v>
      </c>
      <c r="J2" s="19" t="s">
        <v>1</v>
      </c>
      <c r="K2" s="47" t="s">
        <v>2</v>
      </c>
      <c r="L2" s="19" t="s">
        <v>19</v>
      </c>
      <c r="M2" s="229"/>
      <c r="N2" s="229"/>
    </row>
    <row r="3" spans="1:14" x14ac:dyDescent="0.25">
      <c r="A3" s="88" t="s">
        <v>160</v>
      </c>
      <c r="B3" s="86">
        <f>VLOOKUP($A3,$A$73:$E$75,2,FALSE)</f>
        <v>5.8999999999999999E-3</v>
      </c>
      <c r="C3" s="87">
        <f>VLOOKUP($A3,$A$73:$E$75,3,FALSE)</f>
        <v>0.3</v>
      </c>
      <c r="D3" s="9">
        <f>VLOOKUP($A3,$A$73:$E$75,5)</f>
        <v>65</v>
      </c>
      <c r="E3" s="38">
        <f t="shared" ref="E3:E8" si="0">H3*D3</f>
        <v>0</v>
      </c>
      <c r="F3" s="31">
        <f t="shared" ref="F3:F15" si="1">ROUND(H3/$B$35*$B$36/100,0)*100</f>
        <v>0</v>
      </c>
      <c r="G3" s="43"/>
      <c r="H3" s="51">
        <v>0</v>
      </c>
      <c r="I3" s="2">
        <f t="shared" ref="I3:I12" si="2">H3*(1-C3)</f>
        <v>0</v>
      </c>
      <c r="J3" s="10">
        <f t="shared" ref="J3:J15" si="3">B3*H3</f>
        <v>0</v>
      </c>
      <c r="K3" s="66">
        <f t="shared" ref="K3:K15" si="4">I3*B3</f>
        <v>0</v>
      </c>
      <c r="L3" s="33" t="str">
        <f t="shared" ref="L3:L13" si="5">IF(K3/$K$16=0,"-",K3/$K$16)</f>
        <v>-</v>
      </c>
      <c r="M3" s="229"/>
      <c r="N3" s="229"/>
    </row>
    <row r="4" spans="1:14" x14ac:dyDescent="0.25">
      <c r="A4" s="88" t="s">
        <v>3</v>
      </c>
      <c r="B4" s="86">
        <f t="shared" ref="B4:B5" si="6">VLOOKUP($A4,$A$73:$E$75,2,FALSE)</f>
        <v>6.6E-3</v>
      </c>
      <c r="C4" s="87">
        <v>0.15</v>
      </c>
      <c r="D4" s="9">
        <f>VLOOKUP($A4,$A$73:$E$75,5)</f>
        <v>65</v>
      </c>
      <c r="E4" s="38">
        <f t="shared" si="0"/>
        <v>650000</v>
      </c>
      <c r="F4" s="31">
        <f t="shared" si="1"/>
        <v>6900</v>
      </c>
      <c r="G4" s="43"/>
      <c r="H4" s="51">
        <v>10000</v>
      </c>
      <c r="I4" s="2">
        <f t="shared" si="2"/>
        <v>8500</v>
      </c>
      <c r="J4" s="10">
        <f t="shared" si="3"/>
        <v>66</v>
      </c>
      <c r="K4" s="66">
        <f t="shared" si="4"/>
        <v>56.1</v>
      </c>
      <c r="L4" s="33">
        <f t="shared" si="5"/>
        <v>0.25438369767789853</v>
      </c>
      <c r="M4" s="21"/>
      <c r="N4" s="21"/>
    </row>
    <row r="5" spans="1:14" ht="15.75" x14ac:dyDescent="0.25">
      <c r="A5" s="88" t="s">
        <v>7</v>
      </c>
      <c r="B5" s="86">
        <f t="shared" si="6"/>
        <v>5.0000000000000001E-3</v>
      </c>
      <c r="C5" s="87">
        <f t="shared" ref="C5" si="7">VLOOKUP($A5,$A$73:$E$75,3,FALSE)</f>
        <v>0.12</v>
      </c>
      <c r="D5" s="9">
        <f>VLOOKUP($A5,$A$73:$E$75,5)</f>
        <v>65</v>
      </c>
      <c r="E5" s="38">
        <f t="shared" si="0"/>
        <v>0</v>
      </c>
      <c r="F5" s="31">
        <f t="shared" si="1"/>
        <v>0</v>
      </c>
      <c r="G5" s="43"/>
      <c r="H5" s="51">
        <v>0</v>
      </c>
      <c r="I5" s="2">
        <f t="shared" si="2"/>
        <v>0</v>
      </c>
      <c r="J5" s="10">
        <f t="shared" si="3"/>
        <v>0</v>
      </c>
      <c r="K5" s="66">
        <f t="shared" si="4"/>
        <v>0</v>
      </c>
      <c r="L5" s="33" t="str">
        <f t="shared" si="5"/>
        <v>-</v>
      </c>
      <c r="M5" s="22" t="s">
        <v>11</v>
      </c>
      <c r="N5" s="23">
        <f>+SUM(H3:H5)</f>
        <v>10000</v>
      </c>
    </row>
    <row r="6" spans="1:14" ht="15.75" x14ac:dyDescent="0.25">
      <c r="A6" s="53" t="s">
        <v>156</v>
      </c>
      <c r="B6" s="89">
        <f>VLOOKUP(A6,$A$62:$B$70,2,FALSE)</f>
        <v>2.5899999999999999E-2</v>
      </c>
      <c r="C6" s="90">
        <f>VLOOKUP(A6,$A$62:$F$70,3,FALSE)</f>
        <v>0.155</v>
      </c>
      <c r="D6" s="91">
        <f t="shared" ref="D6:D12" si="8">VLOOKUP(A6,$A$62:$F$70,6)</f>
        <v>38</v>
      </c>
      <c r="E6" s="38">
        <f t="shared" si="0"/>
        <v>0</v>
      </c>
      <c r="F6" s="31">
        <f t="shared" si="1"/>
        <v>0</v>
      </c>
      <c r="G6" s="43">
        <v>1</v>
      </c>
      <c r="H6" s="51">
        <v>0</v>
      </c>
      <c r="I6" s="2">
        <f t="shared" si="2"/>
        <v>0</v>
      </c>
      <c r="J6" s="10">
        <f t="shared" si="3"/>
        <v>0</v>
      </c>
      <c r="K6" s="66">
        <f t="shared" si="4"/>
        <v>0</v>
      </c>
      <c r="L6" s="33" t="str">
        <f t="shared" si="5"/>
        <v>-</v>
      </c>
      <c r="M6" s="22" t="s">
        <v>12</v>
      </c>
      <c r="N6" s="23">
        <f>+SUM(I3:I5)</f>
        <v>8500</v>
      </c>
    </row>
    <row r="7" spans="1:14" ht="15.75" x14ac:dyDescent="0.25">
      <c r="A7" s="53" t="s">
        <v>156</v>
      </c>
      <c r="B7" s="89">
        <f t="shared" ref="B7:B9" si="9">VLOOKUP(A7,$A$62:$B$70,2,FALSE)</f>
        <v>2.5899999999999999E-2</v>
      </c>
      <c r="C7" s="90">
        <f>VLOOKUP(A7,$A$62:$F$70,3,FALSE)</f>
        <v>0.155</v>
      </c>
      <c r="D7" s="91">
        <f t="shared" si="8"/>
        <v>38</v>
      </c>
      <c r="E7" s="38">
        <f t="shared" si="0"/>
        <v>152000</v>
      </c>
      <c r="F7" s="31">
        <f t="shared" si="1"/>
        <v>2700</v>
      </c>
      <c r="G7" s="43">
        <v>1</v>
      </c>
      <c r="H7" s="51">
        <v>4000</v>
      </c>
      <c r="I7" s="2">
        <f t="shared" si="2"/>
        <v>3380</v>
      </c>
      <c r="J7" s="10">
        <f t="shared" si="3"/>
        <v>103.6</v>
      </c>
      <c r="K7" s="66">
        <f t="shared" si="4"/>
        <v>87.542000000000002</v>
      </c>
      <c r="L7" s="33">
        <f t="shared" si="5"/>
        <v>0.3969564645653938</v>
      </c>
      <c r="M7" s="24" t="s">
        <v>41</v>
      </c>
      <c r="N7" s="23">
        <f>SUM(H6:H12)</f>
        <v>6000</v>
      </c>
    </row>
    <row r="8" spans="1:14" ht="15.75" x14ac:dyDescent="0.25">
      <c r="A8" s="53" t="s">
        <v>156</v>
      </c>
      <c r="B8" s="89">
        <f t="shared" si="9"/>
        <v>2.5899999999999999E-2</v>
      </c>
      <c r="C8" s="90">
        <f>VLOOKUP(A8,$A$62:$F$70,3,FALSE)</f>
        <v>0.155</v>
      </c>
      <c r="D8" s="91">
        <f t="shared" si="8"/>
        <v>38</v>
      </c>
      <c r="E8" s="38">
        <f t="shared" si="0"/>
        <v>76000</v>
      </c>
      <c r="F8" s="31">
        <f t="shared" si="1"/>
        <v>1400</v>
      </c>
      <c r="G8" s="43">
        <v>2</v>
      </c>
      <c r="H8" s="51">
        <v>2000</v>
      </c>
      <c r="I8" s="2">
        <f t="shared" si="2"/>
        <v>1690</v>
      </c>
      <c r="J8" s="10">
        <f t="shared" si="3"/>
        <v>51.8</v>
      </c>
      <c r="K8" s="66">
        <f t="shared" si="4"/>
        <v>43.771000000000001</v>
      </c>
      <c r="L8" s="33">
        <f t="shared" si="5"/>
        <v>0.1984782322826969</v>
      </c>
      <c r="M8" s="24" t="s">
        <v>65</v>
      </c>
      <c r="N8" s="25">
        <f>SUM(I6:I12)</f>
        <v>5070</v>
      </c>
    </row>
    <row r="9" spans="1:14" ht="15.75" customHeight="1" x14ac:dyDescent="0.25">
      <c r="A9" s="53" t="s">
        <v>163</v>
      </c>
      <c r="B9" s="89">
        <f t="shared" si="9"/>
        <v>3.0200000000000001E-2</v>
      </c>
      <c r="C9" s="90">
        <f>VLOOKUP(A9,$A$62:$F$70,3,FALSE)</f>
        <v>0.3</v>
      </c>
      <c r="D9" s="91">
        <f t="shared" si="8"/>
        <v>65.189048239895698</v>
      </c>
      <c r="E9" s="38">
        <f t="shared" ref="E9:E15" si="10">H9*D9</f>
        <v>0</v>
      </c>
      <c r="F9" s="31">
        <f t="shared" si="1"/>
        <v>0</v>
      </c>
      <c r="G9" s="43">
        <v>2</v>
      </c>
      <c r="H9" s="51">
        <v>0</v>
      </c>
      <c r="I9" s="2">
        <f t="shared" si="2"/>
        <v>0</v>
      </c>
      <c r="J9" s="10">
        <f t="shared" si="3"/>
        <v>0</v>
      </c>
      <c r="K9" s="66">
        <f t="shared" si="4"/>
        <v>0</v>
      </c>
      <c r="L9" s="33" t="str">
        <f t="shared" si="5"/>
        <v>-</v>
      </c>
      <c r="M9" s="54"/>
      <c r="N9" s="54"/>
    </row>
    <row r="10" spans="1:14" x14ac:dyDescent="0.25">
      <c r="A10" s="92" t="s">
        <v>157</v>
      </c>
      <c r="B10" s="89">
        <f>VLOOKUP(A10,$A$62:$B$70,2,FALSE)</f>
        <v>2.53E-2</v>
      </c>
      <c r="C10" s="90">
        <f t="shared" ref="C10:C12" si="11">VLOOKUP(A10,$A$62:$F$70,3)</f>
        <v>0.3</v>
      </c>
      <c r="D10" s="91">
        <f t="shared" si="8"/>
        <v>38</v>
      </c>
      <c r="E10" s="38">
        <f t="shared" si="10"/>
        <v>0</v>
      </c>
      <c r="F10" s="31">
        <f t="shared" si="1"/>
        <v>0</v>
      </c>
      <c r="G10" s="43">
        <v>1</v>
      </c>
      <c r="H10" s="51">
        <v>0</v>
      </c>
      <c r="I10" s="2">
        <f>H10*(1-C10)</f>
        <v>0</v>
      </c>
      <c r="J10" s="10">
        <f t="shared" si="3"/>
        <v>0</v>
      </c>
      <c r="K10" s="66">
        <f t="shared" si="4"/>
        <v>0</v>
      </c>
      <c r="L10" s="33" t="str">
        <f t="shared" si="5"/>
        <v>-</v>
      </c>
      <c r="M10" s="67" t="s">
        <v>38</v>
      </c>
      <c r="N10" s="68"/>
    </row>
    <row r="11" spans="1:14" x14ac:dyDescent="0.25">
      <c r="A11" s="92" t="s">
        <v>157</v>
      </c>
      <c r="B11" s="89">
        <f t="shared" ref="B11:B12" si="12">VLOOKUP(A11,$A$62:$B$70,2,FALSE)</f>
        <v>2.53E-2</v>
      </c>
      <c r="C11" s="90">
        <f t="shared" si="11"/>
        <v>0.3</v>
      </c>
      <c r="D11" s="91">
        <f t="shared" si="8"/>
        <v>38</v>
      </c>
      <c r="E11" s="38">
        <f t="shared" si="10"/>
        <v>0</v>
      </c>
      <c r="F11" s="31">
        <f t="shared" si="1"/>
        <v>0</v>
      </c>
      <c r="G11" s="43">
        <v>2</v>
      </c>
      <c r="H11" s="51">
        <v>0</v>
      </c>
      <c r="I11" s="2">
        <f>H11*(1-C11)</f>
        <v>0</v>
      </c>
      <c r="J11" s="10">
        <f>B11*H11</f>
        <v>0</v>
      </c>
      <c r="K11" s="66">
        <f>I11*B11</f>
        <v>0</v>
      </c>
      <c r="L11" s="33" t="str">
        <f t="shared" si="5"/>
        <v>-</v>
      </c>
      <c r="M11" s="67"/>
      <c r="N11" s="68"/>
    </row>
    <row r="12" spans="1:14" x14ac:dyDescent="0.25">
      <c r="A12" s="92" t="s">
        <v>157</v>
      </c>
      <c r="B12" s="89">
        <f t="shared" si="12"/>
        <v>2.53E-2</v>
      </c>
      <c r="C12" s="90">
        <f t="shared" si="11"/>
        <v>0.3</v>
      </c>
      <c r="D12" s="91">
        <f t="shared" si="8"/>
        <v>38</v>
      </c>
      <c r="E12" s="38">
        <f t="shared" si="10"/>
        <v>0</v>
      </c>
      <c r="F12" s="31">
        <f t="shared" si="1"/>
        <v>0</v>
      </c>
      <c r="G12" s="43">
        <v>1</v>
      </c>
      <c r="H12" s="51">
        <v>0</v>
      </c>
      <c r="I12" s="2">
        <f t="shared" si="2"/>
        <v>0</v>
      </c>
      <c r="J12" s="10">
        <f t="shared" si="3"/>
        <v>0</v>
      </c>
      <c r="K12" s="66">
        <f t="shared" si="4"/>
        <v>0</v>
      </c>
      <c r="L12" s="33" t="str">
        <f t="shared" si="5"/>
        <v>-</v>
      </c>
      <c r="M12" s="67" t="s">
        <v>39</v>
      </c>
      <c r="N12" s="68">
        <f>H15</f>
        <v>80</v>
      </c>
    </row>
    <row r="13" spans="1:14" x14ac:dyDescent="0.25">
      <c r="A13" s="3" t="s">
        <v>4</v>
      </c>
      <c r="B13" s="8">
        <f>VLOOKUP($A13,$A$78:$D$79,2)</f>
        <v>0</v>
      </c>
      <c r="C13" s="8">
        <f>VLOOKUP($A13,$A$78:$D$79,3)</f>
        <v>0.12</v>
      </c>
      <c r="D13" s="9">
        <f>VLOOKUP($A13,$A$78:$D$79,4)</f>
        <v>475.3</v>
      </c>
      <c r="E13" s="38">
        <f t="shared" si="10"/>
        <v>137728.97727272729</v>
      </c>
      <c r="F13" s="31">
        <f t="shared" si="1"/>
        <v>200</v>
      </c>
      <c r="G13" s="43">
        <v>1</v>
      </c>
      <c r="H13" s="60">
        <f>$B$29*B30</f>
        <v>289.77272727272731</v>
      </c>
      <c r="I13" s="2">
        <f>H13*(1-C13)</f>
        <v>255.00000000000003</v>
      </c>
      <c r="J13" s="10">
        <f t="shared" si="3"/>
        <v>0</v>
      </c>
      <c r="K13" s="66">
        <f t="shared" si="4"/>
        <v>0</v>
      </c>
      <c r="L13" s="33" t="str">
        <f t="shared" si="5"/>
        <v>-</v>
      </c>
      <c r="M13" s="67" t="s">
        <v>40</v>
      </c>
      <c r="N13" s="68">
        <f>N10+N12</f>
        <v>80</v>
      </c>
    </row>
    <row r="14" spans="1:14" x14ac:dyDescent="0.25">
      <c r="A14" s="3" t="s">
        <v>4</v>
      </c>
      <c r="B14" s="8">
        <f>VLOOKUP($A14,$A$78:$D$79,2)</f>
        <v>0</v>
      </c>
      <c r="C14" s="8">
        <f>VLOOKUP($A14,$A$78:$D$79,3)</f>
        <v>0.12</v>
      </c>
      <c r="D14" s="9">
        <f>VLOOKUP($A14,$A$78:$D$79,4)</f>
        <v>475.3</v>
      </c>
      <c r="E14" s="38">
        <f t="shared" si="10"/>
        <v>137728.97727272729</v>
      </c>
      <c r="F14" s="31">
        <f t="shared" si="1"/>
        <v>200</v>
      </c>
      <c r="G14" s="43">
        <v>2</v>
      </c>
      <c r="H14" s="60">
        <f>B29-H13</f>
        <v>289.77272727272731</v>
      </c>
      <c r="I14" s="2">
        <f>H14*(1-C14)</f>
        <v>255.00000000000003</v>
      </c>
      <c r="J14" s="10">
        <f>B14*H14</f>
        <v>0</v>
      </c>
      <c r="K14" s="66">
        <f>I14*B14</f>
        <v>0</v>
      </c>
      <c r="L14" s="33" t="str">
        <f>IF(K14/$K$16=0,"-",K14/$K$16)</f>
        <v>-</v>
      </c>
      <c r="M14" s="69"/>
      <c r="N14" s="70"/>
    </row>
    <row r="15" spans="1:14" x14ac:dyDescent="0.25">
      <c r="A15" s="3" t="s">
        <v>5</v>
      </c>
      <c r="B15" s="8">
        <f>VLOOKUP($A15,$A$78:$D$79,2)</f>
        <v>0.46</v>
      </c>
      <c r="C15" s="8">
        <f>VLOOKUP($A15,$A$78:$D$79,3)</f>
        <v>0.1</v>
      </c>
      <c r="D15" s="9">
        <f>VLOOKUP($A15,$A$78:$D$79,4)</f>
        <v>447</v>
      </c>
      <c r="E15" s="38">
        <f t="shared" si="10"/>
        <v>35760</v>
      </c>
      <c r="F15" s="31">
        <f t="shared" si="1"/>
        <v>100</v>
      </c>
      <c r="G15" s="43"/>
      <c r="H15" s="61">
        <v>80</v>
      </c>
      <c r="I15" s="2">
        <f>H15*(1-C15)</f>
        <v>72</v>
      </c>
      <c r="J15" s="10">
        <f t="shared" si="3"/>
        <v>36.800000000000004</v>
      </c>
      <c r="K15" s="66">
        <f t="shared" si="4"/>
        <v>33.120000000000005</v>
      </c>
      <c r="L15" s="33">
        <f>IF(K15/$K$16=0,"-",K15/$K$16)</f>
        <v>0.15018160547401072</v>
      </c>
      <c r="M15" s="71"/>
      <c r="N15" s="72"/>
    </row>
    <row r="16" spans="1:14" x14ac:dyDescent="0.25">
      <c r="A16" s="142" t="s">
        <v>6</v>
      </c>
      <c r="B16" s="143"/>
      <c r="C16" s="143"/>
      <c r="D16" s="143"/>
      <c r="E16" s="144">
        <f>SUM(E3:E15)</f>
        <v>1189217.9545454546</v>
      </c>
      <c r="F16" s="145">
        <f>SUM(F3:F15)</f>
        <v>11500</v>
      </c>
      <c r="G16" s="146"/>
      <c r="H16" s="147">
        <f>SUM(H3:H15)</f>
        <v>16659.545454545456</v>
      </c>
      <c r="I16" s="148">
        <f>SUM(I3:I15)</f>
        <v>14152</v>
      </c>
      <c r="J16" s="149">
        <f>SUM(J3:J15)</f>
        <v>258.2</v>
      </c>
      <c r="K16" s="150">
        <f>SUM(K3:K15)</f>
        <v>220.53300000000002</v>
      </c>
      <c r="L16" s="151">
        <f>IF(K16/$K$16=0,"-",K16/$K$16)</f>
        <v>1</v>
      </c>
      <c r="M16" s="73"/>
      <c r="N16" s="74"/>
    </row>
    <row r="17" spans="1:14" x14ac:dyDescent="0.25">
      <c r="A17" s="1" t="s">
        <v>46</v>
      </c>
      <c r="B17" s="49">
        <f>SUM(I6:I11)/SUM(I3:I5)*1000</f>
        <v>596.47058823529403</v>
      </c>
      <c r="C17" s="59"/>
      <c r="D17" s="59"/>
      <c r="E17" s="59"/>
      <c r="F17" s="46"/>
      <c r="G17" s="46"/>
      <c r="H17" s="46"/>
      <c r="I17" s="64"/>
      <c r="J17" s="64"/>
      <c r="K17" s="46"/>
      <c r="L17" s="46"/>
      <c r="M17" s="65"/>
      <c r="N17" s="20"/>
    </row>
    <row r="18" spans="1:14" x14ac:dyDescent="0.25">
      <c r="A18" s="1" t="s">
        <v>31</v>
      </c>
      <c r="B18" s="10">
        <v>750</v>
      </c>
      <c r="C18" s="215"/>
      <c r="D18" s="215"/>
      <c r="E18" s="215"/>
      <c r="F18" s="46"/>
      <c r="G18" s="46"/>
      <c r="H18" s="46"/>
      <c r="I18" s="64"/>
      <c r="J18" s="64"/>
      <c r="K18" s="46"/>
      <c r="L18" s="46"/>
      <c r="M18" s="65"/>
      <c r="N18" s="20"/>
    </row>
    <row r="19" spans="1:14" x14ac:dyDescent="0.25">
      <c r="A19" s="1" t="s">
        <v>47</v>
      </c>
      <c r="B19" s="10">
        <v>500</v>
      </c>
      <c r="C19" s="215"/>
      <c r="D19" s="215"/>
      <c r="E19" s="215"/>
      <c r="F19" s="46"/>
      <c r="G19" s="46"/>
      <c r="H19" s="46"/>
      <c r="I19" s="64"/>
      <c r="J19" s="64"/>
      <c r="K19" s="46"/>
      <c r="L19" s="46"/>
      <c r="M19" s="216"/>
      <c r="N19" s="20"/>
    </row>
    <row r="20" spans="1:14" x14ac:dyDescent="0.25">
      <c r="A20" s="1" t="s">
        <v>37</v>
      </c>
      <c r="B20" s="49">
        <f>CEILING((I10+I11)/B35*B36,10)</f>
        <v>0</v>
      </c>
      <c r="C20" s="48"/>
      <c r="D20" s="48"/>
      <c r="E20" s="39"/>
      <c r="F20" s="41"/>
      <c r="G20" s="41"/>
      <c r="H20" s="11"/>
      <c r="I20" s="11"/>
      <c r="J20" s="45"/>
      <c r="K20" s="46"/>
      <c r="L20" s="63"/>
      <c r="M20" s="48"/>
      <c r="N20" s="48"/>
    </row>
    <row r="21" spans="1:14" x14ac:dyDescent="0.25">
      <c r="A21" s="1" t="s">
        <v>36</v>
      </c>
      <c r="B21" s="10">
        <v>4100</v>
      </c>
      <c r="C21" s="48"/>
      <c r="D21" s="118"/>
      <c r="E21" s="199" t="s">
        <v>77</v>
      </c>
      <c r="F21" s="200" t="s">
        <v>74</v>
      </c>
      <c r="G21" s="41"/>
      <c r="H21" s="76" t="s">
        <v>84</v>
      </c>
      <c r="I21" s="11"/>
      <c r="J21" s="13"/>
      <c r="K21" s="81"/>
      <c r="L21" s="202" t="s">
        <v>57</v>
      </c>
      <c r="M21" s="230"/>
      <c r="N21" s="230"/>
    </row>
    <row r="22" spans="1:14" x14ac:dyDescent="0.25">
      <c r="A22" s="155" t="s">
        <v>158</v>
      </c>
      <c r="B22" s="10">
        <f>SUM(H10:H12)/SUM(H3:H4)*1000</f>
        <v>0</v>
      </c>
      <c r="C22" s="48"/>
      <c r="D22" s="82"/>
      <c r="E22" s="135" t="s">
        <v>78</v>
      </c>
      <c r="F22" s="201" t="s">
        <v>33</v>
      </c>
      <c r="G22" s="12"/>
      <c r="H22" s="77" t="s">
        <v>85</v>
      </c>
      <c r="I22" s="11"/>
      <c r="J22" s="13"/>
      <c r="K22" s="82"/>
      <c r="L22" s="203" t="s">
        <v>58</v>
      </c>
      <c r="M22" s="220"/>
      <c r="N22" s="46"/>
    </row>
    <row r="23" spans="1:14" x14ac:dyDescent="0.25">
      <c r="A23" s="155" t="s">
        <v>159</v>
      </c>
      <c r="B23" s="10">
        <v>400</v>
      </c>
      <c r="C23" s="48"/>
      <c r="D23" s="116" t="s">
        <v>59</v>
      </c>
      <c r="E23" s="16">
        <f>F23/$F$26</f>
        <v>0.54589963280293763</v>
      </c>
      <c r="F23" s="117">
        <f>CEILING(SUM(E3:E5)/$B$35*$B$36,1000)</f>
        <v>446000</v>
      </c>
      <c r="G23" s="15"/>
      <c r="H23" s="152">
        <f>SUM(H3:H5)/$H$16</f>
        <v>0.6002564732203759</v>
      </c>
      <c r="I23" s="4"/>
      <c r="J23" s="5"/>
      <c r="K23" s="78" t="s">
        <v>59</v>
      </c>
      <c r="L23" s="79">
        <f>SUM(L3:L5)</f>
        <v>0.25438369767789853</v>
      </c>
      <c r="M23" s="221"/>
      <c r="N23" s="55"/>
    </row>
    <row r="24" spans="1:14" x14ac:dyDescent="0.25">
      <c r="A24" s="26" t="s">
        <v>8</v>
      </c>
      <c r="B24" s="27">
        <f>J16/H16</f>
        <v>1.5498622138550106E-2</v>
      </c>
      <c r="C24" s="39"/>
      <c r="D24" s="116" t="s">
        <v>73</v>
      </c>
      <c r="E24" s="16">
        <f>F24/$F$26</f>
        <v>0.19216646266829865</v>
      </c>
      <c r="F24" s="120">
        <f>CEILING(SUM(E6:E12)/$B$35*$B$36,1000)</f>
        <v>157000</v>
      </c>
      <c r="G24" s="15"/>
      <c r="H24" s="152">
        <f>SUM(H6:H12)/$H$16</f>
        <v>0.36015388393222558</v>
      </c>
      <c r="J24" s="6"/>
      <c r="K24" s="78" t="s">
        <v>60</v>
      </c>
      <c r="L24" s="79">
        <f>SUM(L6:L9)</f>
        <v>0.59543469684809069</v>
      </c>
      <c r="M24" s="57"/>
      <c r="N24" s="56"/>
    </row>
    <row r="25" spans="1:14" x14ac:dyDescent="0.25">
      <c r="A25" s="28" t="s">
        <v>9</v>
      </c>
      <c r="B25" s="29">
        <f>K16/I16</f>
        <v>1.5583168456755231E-2</v>
      </c>
      <c r="C25" s="40"/>
      <c r="D25" s="116" t="s">
        <v>75</v>
      </c>
      <c r="E25" s="16">
        <f>F25/$F$26</f>
        <v>0.26193390452876375</v>
      </c>
      <c r="F25" s="117">
        <f>CEILING(SUM(E13:E15)/$B$35*$B$36,1000)</f>
        <v>214000</v>
      </c>
      <c r="H25" s="152">
        <f>SUM(H13:H15)/$H$16</f>
        <v>3.9589642847398437E-2</v>
      </c>
      <c r="K25" s="78" t="s">
        <v>61</v>
      </c>
      <c r="L25" s="79">
        <f>SUM(L10:L11)</f>
        <v>0</v>
      </c>
      <c r="M25" s="58"/>
      <c r="N25" s="56"/>
    </row>
    <row r="26" spans="1:14" x14ac:dyDescent="0.25">
      <c r="A26" s="28" t="s">
        <v>34</v>
      </c>
      <c r="B26" s="29">
        <v>1.54E-2</v>
      </c>
      <c r="C26" s="40"/>
      <c r="D26" s="124" t="s">
        <v>6</v>
      </c>
      <c r="E26" s="123">
        <f>SUM(E23:E25)</f>
        <v>1</v>
      </c>
      <c r="F26" s="119">
        <f>SUM(F23:F25)</f>
        <v>817000</v>
      </c>
      <c r="H26" s="153">
        <f>SUM(H23:H25)</f>
        <v>0.99999999999999989</v>
      </c>
      <c r="K26" s="78" t="s">
        <v>15</v>
      </c>
      <c r="L26" s="79" t="str">
        <f>L12</f>
        <v>-</v>
      </c>
    </row>
    <row r="27" spans="1:14" x14ac:dyDescent="0.25">
      <c r="A27" s="28" t="s">
        <v>35</v>
      </c>
      <c r="B27" s="30">
        <v>1.7000000000000001E-2</v>
      </c>
      <c r="C27" s="12"/>
      <c r="D27" s="12"/>
      <c r="E27" s="15"/>
      <c r="K27" s="78" t="s">
        <v>5</v>
      </c>
      <c r="L27" s="79">
        <f>L15</f>
        <v>0.15018160547401072</v>
      </c>
    </row>
    <row r="28" spans="1:14" x14ac:dyDescent="0.25">
      <c r="A28" s="44" t="s">
        <v>45</v>
      </c>
      <c r="B28" s="9">
        <v>60</v>
      </c>
      <c r="C28" s="219"/>
      <c r="K28" s="84" t="s">
        <v>6</v>
      </c>
      <c r="L28" s="85">
        <f>SUM(L23:L27)</f>
        <v>0.99999999999999989</v>
      </c>
    </row>
    <row r="29" spans="1:14" x14ac:dyDescent="0.25">
      <c r="A29" s="44" t="s">
        <v>42</v>
      </c>
      <c r="B29" s="9">
        <f>SUM(I3:I5)*B28/(1-C13)/1000</f>
        <v>579.54545454545462</v>
      </c>
      <c r="C29" s="12"/>
    </row>
    <row r="30" spans="1:14" x14ac:dyDescent="0.25">
      <c r="A30" s="44" t="s">
        <v>43</v>
      </c>
      <c r="B30" s="14">
        <v>0.5</v>
      </c>
      <c r="C30" s="12"/>
      <c r="D30" s="128"/>
      <c r="E30" s="129"/>
      <c r="F30" s="125" t="s">
        <v>82</v>
      </c>
      <c r="G30" s="15"/>
      <c r="H30" s="76" t="s">
        <v>82</v>
      </c>
      <c r="J30" s="158"/>
      <c r="K30" s="197" t="s">
        <v>86</v>
      </c>
      <c r="L30" s="198" t="s">
        <v>87</v>
      </c>
    </row>
    <row r="31" spans="1:14" x14ac:dyDescent="0.25">
      <c r="A31" s="44" t="s">
        <v>44</v>
      </c>
      <c r="B31" s="62">
        <f>N10/SUM(H3:H5)*1000</f>
        <v>0</v>
      </c>
      <c r="C31" s="12"/>
      <c r="D31" s="130"/>
      <c r="E31" s="131"/>
      <c r="F31" s="126" t="s">
        <v>81</v>
      </c>
      <c r="H31" s="77" t="s">
        <v>83</v>
      </c>
      <c r="J31" s="78" t="s">
        <v>91</v>
      </c>
      <c r="K31" s="169">
        <f>B39</f>
        <v>40600</v>
      </c>
      <c r="L31" s="121" t="str">
        <f>IF(L33=0,"tbd",L33*L34)</f>
        <v>tbd</v>
      </c>
    </row>
    <row r="32" spans="1:14" x14ac:dyDescent="0.25">
      <c r="A32" s="44" t="s">
        <v>50</v>
      </c>
      <c r="B32" s="168">
        <v>0</v>
      </c>
      <c r="C32" s="12"/>
      <c r="D32" s="130"/>
      <c r="E32" s="131"/>
      <c r="F32" s="126"/>
      <c r="H32" s="77"/>
      <c r="J32" s="78" t="s">
        <v>96</v>
      </c>
      <c r="K32" s="159">
        <f>B42</f>
        <v>2</v>
      </c>
      <c r="L32" s="170" t="str">
        <f>IF(L33=0,"tbd",L31/SUM(H3:H5))</f>
        <v>tbd</v>
      </c>
    </row>
    <row r="33" spans="1:13" x14ac:dyDescent="0.25">
      <c r="A33" s="44" t="s">
        <v>29</v>
      </c>
      <c r="B33" s="14">
        <f>SUMIF($G$6:$G$12,LEFT(A33,1),$H$6:$H$12)/SUM($H$6:$H$12)</f>
        <v>0.66666666666666663</v>
      </c>
      <c r="C33" s="12"/>
      <c r="D33" s="116" t="s">
        <v>59</v>
      </c>
      <c r="E33" s="15"/>
      <c r="F33" s="127">
        <f>CEILING(SUM(F3:F5)*(1-$C$75+$D$75),10)</f>
        <v>7110</v>
      </c>
      <c r="H33" s="134">
        <f>CEILING(SUM(H3:H5)*(1-$C$75+$D$75),10)</f>
        <v>10300</v>
      </c>
      <c r="J33" s="78" t="s">
        <v>88</v>
      </c>
      <c r="K33" s="169">
        <f>B35</f>
        <v>2800</v>
      </c>
      <c r="L33" s="165">
        <v>0</v>
      </c>
    </row>
    <row r="34" spans="1:13" x14ac:dyDescent="0.25">
      <c r="A34" s="44" t="s">
        <v>30</v>
      </c>
      <c r="B34" s="14">
        <f>SUMIF($G$6:$G$12,LEFT(A34,1),$H$6:$H$12)/SUM($H$6:$H$12)</f>
        <v>0.33333333333333331</v>
      </c>
      <c r="C34" s="15"/>
      <c r="D34" s="116" t="s">
        <v>60</v>
      </c>
      <c r="E34" s="15"/>
      <c r="F34" s="127">
        <f>CEILING(SUM(F6:F9)*(1-$C$62+$D$62),10)</f>
        <v>4240</v>
      </c>
      <c r="H34" s="134">
        <f>CEILING(SUM(H6:H9)*(1-$C$62+$D$62),10)</f>
        <v>6200</v>
      </c>
      <c r="J34" s="157" t="s">
        <v>89</v>
      </c>
      <c r="K34" s="159">
        <f>B37</f>
        <v>14.5</v>
      </c>
      <c r="L34" s="165">
        <v>0</v>
      </c>
    </row>
    <row r="35" spans="1:13" x14ac:dyDescent="0.25">
      <c r="A35" s="1" t="s">
        <v>24</v>
      </c>
      <c r="B35" s="52">
        <v>2800</v>
      </c>
      <c r="C35" s="15"/>
      <c r="D35" s="116" t="s">
        <v>61</v>
      </c>
      <c r="E35" s="15"/>
      <c r="F35" s="127">
        <f>CEILING(SUM(F10:F11)*(1-$C$68+$D$68),10)</f>
        <v>0</v>
      </c>
      <c r="H35" s="134">
        <f>CEILING(SUM(H10:H11)*(1-$C$68+$D$68),10)</f>
        <v>0</v>
      </c>
      <c r="J35" s="82" t="s">
        <v>131</v>
      </c>
      <c r="K35" s="175">
        <f>F26/K33</f>
        <v>291.78571428571428</v>
      </c>
      <c r="L35" s="172" t="str">
        <f>IF(L33=0,"tbd",F26/L33)</f>
        <v>tbd</v>
      </c>
    </row>
    <row r="36" spans="1:13" x14ac:dyDescent="0.25">
      <c r="A36" s="1" t="s">
        <v>32</v>
      </c>
      <c r="B36" s="9">
        <v>1920</v>
      </c>
      <c r="C36" s="15"/>
      <c r="D36" s="116" t="s">
        <v>15</v>
      </c>
      <c r="E36" s="15"/>
      <c r="F36" s="127">
        <f>CEILING(SUM(F12:F12)*(1-$C$70+$D$70),10)</f>
        <v>0</v>
      </c>
      <c r="H36" s="134">
        <f>CEILING(SUM(H12:H12)*(1-$C$70+$D$70),10)</f>
        <v>0</v>
      </c>
      <c r="J36" s="78" t="s">
        <v>141</v>
      </c>
      <c r="K36" s="166">
        <f>B38</f>
        <v>2</v>
      </c>
      <c r="L36" s="167" t="str">
        <f>IF(L38=0,"tbd",L38/E53)</f>
        <v>tbd</v>
      </c>
    </row>
    <row r="37" spans="1:13" x14ac:dyDescent="0.25">
      <c r="A37" s="1" t="s">
        <v>25</v>
      </c>
      <c r="B37" s="52">
        <v>14.5</v>
      </c>
      <c r="C37" s="15"/>
      <c r="D37" s="116" t="s">
        <v>75</v>
      </c>
      <c r="E37" s="20"/>
      <c r="F37" s="127">
        <f>CEILING(SUM(F13:F15),10)</f>
        <v>500</v>
      </c>
      <c r="H37" s="134">
        <f>CEILING(SUM(H13:H15),10)</f>
        <v>660</v>
      </c>
      <c r="J37" s="187" t="s">
        <v>145</v>
      </c>
      <c r="K37" s="166">
        <v>2</v>
      </c>
      <c r="L37" s="167" t="str">
        <f>IF(L39=0,"tbd",L39/E54)</f>
        <v>tbd</v>
      </c>
    </row>
    <row r="38" spans="1:13" x14ac:dyDescent="0.25">
      <c r="A38" s="155" t="s">
        <v>90</v>
      </c>
      <c r="B38" s="156">
        <v>2</v>
      </c>
      <c r="C38" s="15"/>
      <c r="D38" s="124" t="s">
        <v>6</v>
      </c>
      <c r="E38" s="132"/>
      <c r="F38" s="133">
        <f>SUM(F33:F37)</f>
        <v>11850</v>
      </c>
      <c r="H38" s="141">
        <f>SUM(H33:H37)</f>
        <v>17160</v>
      </c>
      <c r="J38" s="78" t="s">
        <v>146</v>
      </c>
      <c r="K38" s="169">
        <f>IFERROR(K36*E53*($K$33/$E$55),"tbd")</f>
        <v>4480</v>
      </c>
      <c r="L38" s="162"/>
    </row>
    <row r="39" spans="1:13" ht="15" customHeight="1" x14ac:dyDescent="0.25">
      <c r="A39" s="1" t="s">
        <v>26</v>
      </c>
      <c r="B39" s="9">
        <f>B35*B37</f>
        <v>40600</v>
      </c>
      <c r="C39" s="16"/>
      <c r="J39" s="187" t="s">
        <v>147</v>
      </c>
      <c r="K39" s="169">
        <f>IFERROR(K37*E54*($K$33/$E$55),"tbd")</f>
        <v>1120</v>
      </c>
      <c r="L39" s="173"/>
    </row>
    <row r="40" spans="1:13" s="35" customFormat="1" ht="18" customHeight="1" x14ac:dyDescent="0.25">
      <c r="A40" s="1" t="s">
        <v>10</v>
      </c>
      <c r="B40" s="14">
        <v>0.2</v>
      </c>
      <c r="C40" s="15"/>
      <c r="J40" s="82" t="s">
        <v>142</v>
      </c>
      <c r="K40" s="175">
        <f>IFERROR($F$26*(E53/$E$55)/K38,"tbd")</f>
        <v>145.89285714285714</v>
      </c>
      <c r="L40" s="172" t="str">
        <f>IF(L38=0,"tbd",$F$26*(E53/$E$55)/L38)</f>
        <v>tbd</v>
      </c>
    </row>
    <row r="41" spans="1:13" ht="15.75" thickBot="1" x14ac:dyDescent="0.3">
      <c r="A41" s="1" t="s">
        <v>27</v>
      </c>
      <c r="B41" s="107">
        <f>B39/(1-B40)</f>
        <v>50750</v>
      </c>
      <c r="J41" s="84" t="s">
        <v>148</v>
      </c>
      <c r="K41" s="160">
        <f>IFERROR($F$26*(E54/$E$55)/K39,"tbd")</f>
        <v>145.89285714285714</v>
      </c>
      <c r="L41" s="161" t="str">
        <f>IF(L39=0,"tbd",$F$26*(E54/$E$55)/L39)</f>
        <v>tbd</v>
      </c>
    </row>
    <row r="42" spans="1:13" ht="15.95" customHeight="1" thickBot="1" x14ac:dyDescent="0.3">
      <c r="A42" s="106" t="s">
        <v>92</v>
      </c>
      <c r="B42" s="109">
        <v>2</v>
      </c>
    </row>
    <row r="43" spans="1:13" ht="15.95" customHeight="1" x14ac:dyDescent="0.25">
      <c r="A43" s="1" t="s">
        <v>28</v>
      </c>
      <c r="B43" s="108">
        <f>CEILING(B39/B42,50)</f>
        <v>20300</v>
      </c>
      <c r="D43" s="193" t="s">
        <v>100</v>
      </c>
      <c r="E43" s="194" t="s">
        <v>101</v>
      </c>
      <c r="F43" s="194" t="s">
        <v>113</v>
      </c>
      <c r="G43" s="195" t="s">
        <v>114</v>
      </c>
      <c r="H43" s="195" t="s">
        <v>77</v>
      </c>
      <c r="I43" s="196" t="s">
        <v>130</v>
      </c>
      <c r="J43" s="35"/>
      <c r="K43" s="192" t="s">
        <v>132</v>
      </c>
      <c r="L43" s="204" t="s">
        <v>86</v>
      </c>
      <c r="M43" s="205" t="s">
        <v>87</v>
      </c>
    </row>
    <row r="44" spans="1:13" ht="15.95" customHeight="1" x14ac:dyDescent="0.25">
      <c r="A44" s="1" t="s">
        <v>93</v>
      </c>
      <c r="B44" s="105">
        <v>2.2000000000000002</v>
      </c>
      <c r="C44" s="7"/>
      <c r="D44" s="78" t="s">
        <v>102</v>
      </c>
      <c r="E44" s="181">
        <v>0</v>
      </c>
      <c r="F44" s="181">
        <v>150</v>
      </c>
      <c r="G44" s="191">
        <f>E44*F44/1000</f>
        <v>0</v>
      </c>
      <c r="H44" s="191">
        <f>VLOOKUP(D44,$A$82:$E$86,5)*G44</f>
        <v>0</v>
      </c>
      <c r="I44" s="121">
        <f>IFERROR(H44/E44,0)</f>
        <v>0</v>
      </c>
      <c r="K44" s="78" t="s">
        <v>138</v>
      </c>
      <c r="L44" s="211">
        <f>K35</f>
        <v>291.78571428571428</v>
      </c>
      <c r="M44" s="121" t="str">
        <f>L35</f>
        <v>tbd</v>
      </c>
    </row>
    <row r="45" spans="1:13" ht="15.95" customHeight="1" x14ac:dyDescent="0.25">
      <c r="A45" s="1" t="s">
        <v>64</v>
      </c>
      <c r="B45" s="105">
        <v>3</v>
      </c>
      <c r="C45" s="7"/>
      <c r="D45" s="171" t="s">
        <v>98</v>
      </c>
      <c r="E45" s="181">
        <v>0</v>
      </c>
      <c r="F45" s="181">
        <v>150</v>
      </c>
      <c r="G45" s="191">
        <f t="shared" ref="G45:G52" si="13">E45*F45/1000</f>
        <v>0</v>
      </c>
      <c r="H45" s="191">
        <f t="shared" ref="H45:H48" si="14">VLOOKUP(D45,$A$82:$E$86,5)*G45</f>
        <v>0</v>
      </c>
      <c r="I45" s="121">
        <f t="shared" ref="I45:I55" si="15">IFERROR(H45/E45,0)</f>
        <v>0</v>
      </c>
      <c r="K45" s="78" t="s">
        <v>137</v>
      </c>
      <c r="L45" s="211">
        <v>0</v>
      </c>
      <c r="M45" s="121">
        <v>0</v>
      </c>
    </row>
    <row r="46" spans="1:13" ht="15.95" customHeight="1" x14ac:dyDescent="0.25">
      <c r="A46" s="1" t="s">
        <v>18</v>
      </c>
      <c r="B46" s="9">
        <v>22</v>
      </c>
      <c r="C46" s="7"/>
      <c r="D46" s="78" t="s">
        <v>97</v>
      </c>
      <c r="E46" s="181">
        <v>0</v>
      </c>
      <c r="F46" s="181">
        <v>0</v>
      </c>
      <c r="G46" s="191">
        <f t="shared" si="13"/>
        <v>0</v>
      </c>
      <c r="H46" s="191">
        <f t="shared" si="14"/>
        <v>0</v>
      </c>
      <c r="I46" s="121">
        <f t="shared" si="15"/>
        <v>0</v>
      </c>
      <c r="K46" s="78" t="s">
        <v>133</v>
      </c>
      <c r="L46" s="213">
        <f>300000/3000</f>
        <v>100</v>
      </c>
      <c r="M46" s="121">
        <v>0</v>
      </c>
    </row>
    <row r="47" spans="1:13" x14ac:dyDescent="0.25">
      <c r="A47" s="1" t="s">
        <v>17</v>
      </c>
      <c r="B47" s="10">
        <f>B43/B46</f>
        <v>922.72727272727275</v>
      </c>
      <c r="D47" s="78" t="s">
        <v>99</v>
      </c>
      <c r="E47" s="181">
        <v>0</v>
      </c>
      <c r="F47" s="181">
        <v>0</v>
      </c>
      <c r="G47" s="191">
        <f t="shared" si="13"/>
        <v>0</v>
      </c>
      <c r="H47" s="191">
        <f t="shared" si="14"/>
        <v>0</v>
      </c>
      <c r="I47" s="121">
        <f t="shared" si="15"/>
        <v>0</v>
      </c>
      <c r="K47" s="78" t="s">
        <v>134</v>
      </c>
      <c r="L47" s="211" t="e">
        <f>I53*$L$56/F53</f>
        <v>#DIV/0!</v>
      </c>
      <c r="M47" s="121">
        <f>I53</f>
        <v>0</v>
      </c>
    </row>
    <row r="48" spans="1:13" ht="30" x14ac:dyDescent="0.25">
      <c r="A48" s="155"/>
      <c r="B48" s="155"/>
      <c r="D48" s="171" t="s">
        <v>103</v>
      </c>
      <c r="E48" s="181">
        <v>0</v>
      </c>
      <c r="F48" s="181">
        <v>0</v>
      </c>
      <c r="G48" s="191">
        <f t="shared" si="13"/>
        <v>0</v>
      </c>
      <c r="H48" s="191">
        <f t="shared" si="14"/>
        <v>0</v>
      </c>
      <c r="I48" s="121">
        <f t="shared" si="15"/>
        <v>0</v>
      </c>
      <c r="K48" s="78" t="s">
        <v>135</v>
      </c>
      <c r="L48" s="211" t="e">
        <f>I54*$L$56/F54</f>
        <v>#DIV/0!</v>
      </c>
      <c r="M48" s="121">
        <f>I54</f>
        <v>0</v>
      </c>
    </row>
    <row r="49" spans="1:13" ht="15.95" customHeight="1" x14ac:dyDescent="0.25">
      <c r="A49" s="20"/>
      <c r="B49" s="20"/>
      <c r="D49" s="171" t="s">
        <v>107</v>
      </c>
      <c r="E49" s="181">
        <v>0</v>
      </c>
      <c r="F49" s="181">
        <v>150</v>
      </c>
      <c r="G49" s="191">
        <f t="shared" si="13"/>
        <v>0</v>
      </c>
      <c r="H49" s="191">
        <f>VLOOKUP(D49,$A$87:$E$90,5)*G49</f>
        <v>0</v>
      </c>
      <c r="I49" s="121">
        <f t="shared" si="15"/>
        <v>0</v>
      </c>
      <c r="K49" s="78" t="s">
        <v>136</v>
      </c>
      <c r="L49" s="211">
        <f>E94</f>
        <v>203.03030303030303</v>
      </c>
      <c r="M49" s="121">
        <f>E94</f>
        <v>203.03030303030303</v>
      </c>
    </row>
    <row r="50" spans="1:13" ht="15" customHeight="1" x14ac:dyDescent="0.25">
      <c r="A50" s="222" t="s">
        <v>164</v>
      </c>
      <c r="B50" s="223"/>
      <c r="C50" s="190"/>
      <c r="D50" s="78" t="s">
        <v>104</v>
      </c>
      <c r="E50" s="181">
        <v>0</v>
      </c>
      <c r="F50" s="181">
        <v>0</v>
      </c>
      <c r="G50" s="191">
        <f t="shared" si="13"/>
        <v>0</v>
      </c>
      <c r="H50" s="191">
        <f t="shared" ref="H50:H52" si="16">VLOOKUP(D50,$A$87:$E$90,5)*G50</f>
        <v>0</v>
      </c>
      <c r="I50" s="121">
        <f t="shared" si="15"/>
        <v>0</v>
      </c>
      <c r="K50" s="78" t="s">
        <v>139</v>
      </c>
      <c r="L50" s="211" t="e">
        <f>SUM(L44:L47,L49)</f>
        <v>#DIV/0!</v>
      </c>
      <c r="M50" s="121">
        <f>SUM(M44:M47,M49)</f>
        <v>203.03030303030303</v>
      </c>
    </row>
    <row r="51" spans="1:13" x14ac:dyDescent="0.25">
      <c r="A51" s="224"/>
      <c r="B51" s="225"/>
      <c r="C51" s="190"/>
      <c r="D51" s="78" t="s">
        <v>105</v>
      </c>
      <c r="E51" s="181">
        <v>0</v>
      </c>
      <c r="F51" s="181">
        <v>150</v>
      </c>
      <c r="G51" s="191">
        <f t="shared" si="13"/>
        <v>0</v>
      </c>
      <c r="H51" s="191">
        <f t="shared" si="16"/>
        <v>0</v>
      </c>
      <c r="I51" s="121">
        <f t="shared" si="15"/>
        <v>0</v>
      </c>
      <c r="K51" s="78" t="s">
        <v>140</v>
      </c>
      <c r="L51" s="211" t="e">
        <f>SUM(L44:L46,L48:L49)</f>
        <v>#DIV/0!</v>
      </c>
      <c r="M51" s="121">
        <f>SUM(M44:M46,M48:M49)</f>
        <v>203.03030303030303</v>
      </c>
    </row>
    <row r="52" spans="1:13" x14ac:dyDescent="0.25">
      <c r="A52" s="224"/>
      <c r="B52" s="225"/>
      <c r="C52" s="190"/>
      <c r="D52" s="78" t="s">
        <v>106</v>
      </c>
      <c r="E52" s="181">
        <v>0</v>
      </c>
      <c r="F52" s="181">
        <v>0</v>
      </c>
      <c r="G52" s="191">
        <f t="shared" si="13"/>
        <v>0</v>
      </c>
      <c r="H52" s="191">
        <f t="shared" si="16"/>
        <v>0</v>
      </c>
      <c r="I52" s="121">
        <f t="shared" si="15"/>
        <v>0</v>
      </c>
      <c r="K52" s="78" t="s">
        <v>141</v>
      </c>
      <c r="L52" s="210">
        <f>K36</f>
        <v>2</v>
      </c>
      <c r="M52" s="206" t="str">
        <f>L36</f>
        <v>tbd</v>
      </c>
    </row>
    <row r="53" spans="1:13" x14ac:dyDescent="0.25">
      <c r="A53" s="224"/>
      <c r="B53" s="225"/>
      <c r="C53" s="190"/>
      <c r="D53" s="82" t="s">
        <v>108</v>
      </c>
      <c r="E53" s="175">
        <f>IF(SUM(E44:E48)=0,K33*80%,SUM(E44:E48))</f>
        <v>2240</v>
      </c>
      <c r="F53" s="175">
        <f>IFERROR(SUMPRODUCT(E44:E48,F44:F48)/E53,"tbd")</f>
        <v>0</v>
      </c>
      <c r="G53" s="175">
        <f>SUM(G44:G48)</f>
        <v>0</v>
      </c>
      <c r="H53" s="175">
        <f>SUM(H44:H48)</f>
        <v>0</v>
      </c>
      <c r="I53" s="172">
        <f t="shared" si="15"/>
        <v>0</v>
      </c>
      <c r="K53" s="78" t="s">
        <v>145</v>
      </c>
      <c r="L53" s="210">
        <f>K37</f>
        <v>2</v>
      </c>
      <c r="M53" s="207" t="str">
        <f>L37</f>
        <v>tbd</v>
      </c>
    </row>
    <row r="54" spans="1:13" x14ac:dyDescent="0.25">
      <c r="A54" s="224"/>
      <c r="B54" s="225"/>
      <c r="C54" s="190"/>
      <c r="D54" s="82" t="s">
        <v>109</v>
      </c>
      <c r="E54" s="175">
        <f>IF(SUM(E49:E52)=0,K33*20%,SUM(E49:E52))</f>
        <v>560</v>
      </c>
      <c r="F54" s="175">
        <f>IFERROR(SUMPRODUCT(E49:E52,F49:F52),"tbd")/E54</f>
        <v>0</v>
      </c>
      <c r="G54" s="175">
        <f>SUM(G49:G52)</f>
        <v>0</v>
      </c>
      <c r="H54" s="175">
        <f>SUM(H49:H52)</f>
        <v>0</v>
      </c>
      <c r="I54" s="172">
        <f t="shared" si="15"/>
        <v>0</v>
      </c>
      <c r="K54" s="82" t="s">
        <v>142</v>
      </c>
      <c r="L54" s="175" t="str">
        <f>IFERROR(L50/L52,"tbd")</f>
        <v>tbd</v>
      </c>
      <c r="M54" s="208" t="str">
        <f>IFERROR(M50/M52,"tbd")</f>
        <v>tbd</v>
      </c>
    </row>
    <row r="55" spans="1:13" x14ac:dyDescent="0.25">
      <c r="A55" s="224"/>
      <c r="B55" s="225"/>
      <c r="C55" s="190"/>
      <c r="D55" s="84" t="s">
        <v>110</v>
      </c>
      <c r="E55" s="160">
        <f>E53+E54</f>
        <v>2800</v>
      </c>
      <c r="F55" s="160">
        <f>IFERROR(SUMPRODUCT(E44:E52,F44:F52)/E55,"tbd")</f>
        <v>0</v>
      </c>
      <c r="G55" s="160">
        <f>G53+G54</f>
        <v>0</v>
      </c>
      <c r="H55" s="160">
        <f>H53+H54</f>
        <v>0</v>
      </c>
      <c r="I55" s="161">
        <f t="shared" si="15"/>
        <v>0</v>
      </c>
      <c r="K55" s="84" t="s">
        <v>143</v>
      </c>
      <c r="L55" s="160" t="str">
        <f>IFERROR(L51/L53,"tbd")</f>
        <v>tbd</v>
      </c>
      <c r="M55" s="209" t="str">
        <f>IFERROR(M51/M53,"tbd")</f>
        <v>tbd</v>
      </c>
    </row>
    <row r="56" spans="1:13" x14ac:dyDescent="0.25">
      <c r="A56" s="226"/>
      <c r="B56" s="227"/>
      <c r="C56" s="190"/>
      <c r="D56" s="186"/>
      <c r="H56" s="174"/>
      <c r="I56" s="174"/>
      <c r="K56" s="186" t="s">
        <v>149</v>
      </c>
      <c r="L56">
        <v>120</v>
      </c>
      <c r="M56" t="s">
        <v>113</v>
      </c>
    </row>
    <row r="57" spans="1:13" x14ac:dyDescent="0.25">
      <c r="A57" s="75" t="s">
        <v>49</v>
      </c>
      <c r="H57" s="174"/>
      <c r="I57" s="174"/>
    </row>
    <row r="58" spans="1:13" ht="15.75" thickBot="1" x14ac:dyDescent="0.3">
      <c r="A58" s="75" t="s">
        <v>48</v>
      </c>
      <c r="H58" s="174"/>
      <c r="I58" s="174"/>
    </row>
    <row r="59" spans="1:13" x14ac:dyDescent="0.25">
      <c r="A59" s="75" t="s">
        <v>51</v>
      </c>
      <c r="H59" s="174"/>
      <c r="I59" s="174"/>
      <c r="K59" s="111" t="s">
        <v>66</v>
      </c>
      <c r="L59" s="136"/>
      <c r="M59" s="163" t="s">
        <v>165</v>
      </c>
    </row>
    <row r="60" spans="1:13" x14ac:dyDescent="0.25">
      <c r="K60" s="112" t="s">
        <v>67</v>
      </c>
      <c r="L60" s="137"/>
      <c r="M60" s="164">
        <v>44909</v>
      </c>
    </row>
    <row r="61" spans="1:13" ht="45" x14ac:dyDescent="0.25">
      <c r="A61" s="93" t="s">
        <v>20</v>
      </c>
      <c r="B61" s="176" t="s">
        <v>14</v>
      </c>
      <c r="C61" s="176" t="s">
        <v>52</v>
      </c>
      <c r="D61" s="176" t="s">
        <v>53</v>
      </c>
      <c r="E61" s="178" t="s">
        <v>55</v>
      </c>
      <c r="F61" s="178" t="s">
        <v>54</v>
      </c>
      <c r="G61" s="95"/>
      <c r="H61" s="95"/>
      <c r="I61" s="96"/>
      <c r="J61" s="20"/>
      <c r="K61" s="112" t="s">
        <v>68</v>
      </c>
      <c r="L61" s="137"/>
      <c r="M61" s="164"/>
    </row>
    <row r="62" spans="1:13" x14ac:dyDescent="0.25">
      <c r="A62" s="78" t="s">
        <v>21</v>
      </c>
      <c r="B62" s="34">
        <v>2.1000000000000001E-2</v>
      </c>
      <c r="C62" s="36">
        <v>0.2</v>
      </c>
      <c r="D62" s="36">
        <v>0.23300000000000001</v>
      </c>
      <c r="E62" s="169">
        <v>62.5</v>
      </c>
      <c r="F62" s="169">
        <f t="shared" ref="F62:F70" si="17">E62/(1-D62)*(1-C62)</f>
        <v>65.189048239895698</v>
      </c>
      <c r="G62" s="20"/>
      <c r="H62" s="20"/>
      <c r="I62" s="97"/>
      <c r="J62" s="20"/>
      <c r="K62" s="112" t="s">
        <v>69</v>
      </c>
      <c r="L62" s="137"/>
      <c r="M62" s="164"/>
    </row>
    <row r="63" spans="1:13" x14ac:dyDescent="0.25">
      <c r="A63" s="78" t="s">
        <v>22</v>
      </c>
      <c r="B63" s="34">
        <v>2.1000000000000001E-2</v>
      </c>
      <c r="C63" s="36">
        <v>0.2</v>
      </c>
      <c r="D63" s="36">
        <v>0.2</v>
      </c>
      <c r="E63" s="169">
        <v>40.666666666666671</v>
      </c>
      <c r="F63" s="169">
        <f t="shared" si="17"/>
        <v>40.666666666666671</v>
      </c>
      <c r="G63" s="20"/>
      <c r="H63" s="20"/>
      <c r="I63" s="97"/>
      <c r="J63" s="20"/>
      <c r="K63" s="112" t="s">
        <v>70</v>
      </c>
      <c r="L63" s="135"/>
      <c r="M63" s="139" t="s">
        <v>94</v>
      </c>
    </row>
    <row r="64" spans="1:13" x14ac:dyDescent="0.25">
      <c r="A64" s="78" t="s">
        <v>156</v>
      </c>
      <c r="B64" s="34">
        <v>2.5899999999999999E-2</v>
      </c>
      <c r="C64" s="36">
        <v>0.155</v>
      </c>
      <c r="D64" s="36">
        <v>0.18</v>
      </c>
      <c r="E64" s="169">
        <f>84+(122000/40000)</f>
        <v>87.05</v>
      </c>
      <c r="F64" s="169">
        <f t="shared" si="17"/>
        <v>89.703963414634131</v>
      </c>
      <c r="G64" s="20"/>
      <c r="H64" s="20"/>
      <c r="I64" s="97"/>
      <c r="J64" s="20"/>
      <c r="K64" s="112" t="s">
        <v>70</v>
      </c>
      <c r="L64" s="135"/>
      <c r="M64" s="139" t="s">
        <v>161</v>
      </c>
    </row>
    <row r="65" spans="1:13" x14ac:dyDescent="0.25">
      <c r="A65" s="78" t="s">
        <v>155</v>
      </c>
      <c r="B65" s="34">
        <v>2.2800000000000001E-2</v>
      </c>
      <c r="C65" s="36">
        <v>0.18</v>
      </c>
      <c r="D65" s="36">
        <v>0.2</v>
      </c>
      <c r="E65" s="214">
        <v>83.6</v>
      </c>
      <c r="F65" s="214">
        <f t="shared" si="17"/>
        <v>85.69</v>
      </c>
      <c r="G65" s="20"/>
      <c r="H65" s="20"/>
      <c r="I65" s="97"/>
      <c r="J65" s="20"/>
      <c r="K65" s="112" t="s">
        <v>70</v>
      </c>
      <c r="L65" s="135"/>
      <c r="M65" s="139"/>
    </row>
    <row r="66" spans="1:13" x14ac:dyDescent="0.25">
      <c r="A66" s="78" t="s">
        <v>162</v>
      </c>
      <c r="B66" s="34">
        <v>4.0599999999999997E-2</v>
      </c>
      <c r="C66" s="36">
        <v>0.48599999999999999</v>
      </c>
      <c r="D66" s="36">
        <v>0.48599999999999999</v>
      </c>
      <c r="E66" s="217"/>
      <c r="F66" s="217">
        <f t="shared" si="17"/>
        <v>0</v>
      </c>
      <c r="G66" s="20"/>
      <c r="H66" s="20"/>
      <c r="I66" s="97"/>
      <c r="J66" s="20"/>
      <c r="K66" s="112"/>
      <c r="L66" s="135"/>
      <c r="M66" s="139"/>
    </row>
    <row r="67" spans="1:13" x14ac:dyDescent="0.25">
      <c r="A67" s="78" t="s">
        <v>163</v>
      </c>
      <c r="B67" s="34">
        <v>3.0200000000000001E-2</v>
      </c>
      <c r="C67" s="36">
        <v>0.3</v>
      </c>
      <c r="D67" s="36">
        <v>0.3</v>
      </c>
      <c r="E67" s="218">
        <v>38</v>
      </c>
      <c r="F67" s="218">
        <f t="shared" si="17"/>
        <v>38</v>
      </c>
      <c r="G67" s="20"/>
      <c r="H67" s="20"/>
      <c r="I67" s="97"/>
      <c r="J67" s="20"/>
      <c r="K67" s="112"/>
      <c r="L67" s="135"/>
      <c r="M67" s="139"/>
    </row>
    <row r="68" spans="1:13" x14ac:dyDescent="0.25">
      <c r="A68" s="78" t="s">
        <v>16</v>
      </c>
      <c r="B68" s="34">
        <v>3.6808E-2</v>
      </c>
      <c r="C68" s="36">
        <v>0.7</v>
      </c>
      <c r="D68" s="36">
        <v>0.72</v>
      </c>
      <c r="E68" s="169">
        <f>(200000+100000)/8000</f>
        <v>37.5</v>
      </c>
      <c r="F68" s="169">
        <f t="shared" si="17"/>
        <v>40.178571428571431</v>
      </c>
      <c r="G68" s="20" t="s">
        <v>144</v>
      </c>
      <c r="H68" s="20"/>
      <c r="I68" s="97"/>
      <c r="J68" s="20"/>
      <c r="K68" s="112" t="s">
        <v>70</v>
      </c>
      <c r="L68" s="135"/>
      <c r="M68" s="139"/>
    </row>
    <row r="69" spans="1:13" x14ac:dyDescent="0.25">
      <c r="A69" s="78" t="s">
        <v>157</v>
      </c>
      <c r="B69" s="34">
        <v>2.53E-2</v>
      </c>
      <c r="C69" s="36">
        <v>0.7</v>
      </c>
      <c r="D69" s="36">
        <v>0.72</v>
      </c>
      <c r="E69" s="214">
        <f>(60000+100000)/4000</f>
        <v>40</v>
      </c>
      <c r="F69" s="214">
        <f t="shared" si="17"/>
        <v>42.857142857142854</v>
      </c>
      <c r="G69" s="20" t="s">
        <v>144</v>
      </c>
      <c r="H69" s="20"/>
      <c r="I69" s="97"/>
      <c r="J69" s="20"/>
      <c r="K69" s="112" t="s">
        <v>70</v>
      </c>
      <c r="L69" s="135"/>
      <c r="M69" s="139"/>
    </row>
    <row r="70" spans="1:13" ht="15.75" thickBot="1" x14ac:dyDescent="0.3">
      <c r="A70" s="80" t="s">
        <v>15</v>
      </c>
      <c r="B70" s="98">
        <v>0.13</v>
      </c>
      <c r="C70" s="99">
        <v>0.18</v>
      </c>
      <c r="D70" s="99">
        <v>0.85</v>
      </c>
      <c r="E70" s="100">
        <v>15</v>
      </c>
      <c r="F70" s="101">
        <f t="shared" si="17"/>
        <v>82</v>
      </c>
      <c r="G70" s="102"/>
      <c r="H70" s="102"/>
      <c r="I70" s="83"/>
      <c r="J70" s="20"/>
      <c r="K70" s="113" t="s">
        <v>70</v>
      </c>
      <c r="L70" s="138"/>
      <c r="M70" s="140" t="s">
        <v>95</v>
      </c>
    </row>
    <row r="72" spans="1:13" ht="45" x14ac:dyDescent="0.25">
      <c r="A72" s="110" t="s">
        <v>62</v>
      </c>
      <c r="B72" s="176" t="s">
        <v>14</v>
      </c>
      <c r="C72" s="176" t="s">
        <v>52</v>
      </c>
      <c r="D72" s="176" t="s">
        <v>53</v>
      </c>
      <c r="E72" s="177" t="s">
        <v>55</v>
      </c>
    </row>
    <row r="73" spans="1:13" x14ac:dyDescent="0.25">
      <c r="A73" s="78" t="s">
        <v>7</v>
      </c>
      <c r="B73" s="34">
        <v>5.0000000000000001E-3</v>
      </c>
      <c r="C73" s="36">
        <v>0.12</v>
      </c>
      <c r="D73" s="36">
        <v>0.12</v>
      </c>
      <c r="E73" s="121">
        <v>65</v>
      </c>
    </row>
    <row r="74" spans="1:13" x14ac:dyDescent="0.25">
      <c r="A74" s="103" t="s">
        <v>160</v>
      </c>
      <c r="B74" s="34">
        <v>5.8999999999999999E-3</v>
      </c>
      <c r="C74" s="36">
        <v>0.3</v>
      </c>
      <c r="D74" s="36">
        <v>0.12</v>
      </c>
      <c r="E74" s="121">
        <v>65</v>
      </c>
    </row>
    <row r="75" spans="1:13" x14ac:dyDescent="0.25">
      <c r="A75" s="104" t="s">
        <v>3</v>
      </c>
      <c r="B75" s="98">
        <v>6.6E-3</v>
      </c>
      <c r="C75" s="99">
        <v>0.17</v>
      </c>
      <c r="D75" s="99">
        <v>0.2</v>
      </c>
      <c r="E75" s="122">
        <v>65</v>
      </c>
    </row>
    <row r="76" spans="1:13" x14ac:dyDescent="0.25">
      <c r="A76" s="64"/>
    </row>
    <row r="77" spans="1:13" ht="30" x14ac:dyDescent="0.25">
      <c r="A77" s="154" t="s">
        <v>71</v>
      </c>
      <c r="B77" s="94" t="s">
        <v>14</v>
      </c>
      <c r="C77" s="94" t="s">
        <v>52</v>
      </c>
      <c r="D77" s="96" t="s">
        <v>72</v>
      </c>
    </row>
    <row r="78" spans="1:13" x14ac:dyDescent="0.25">
      <c r="A78" s="114" t="s">
        <v>4</v>
      </c>
      <c r="B78" s="36">
        <v>0</v>
      </c>
      <c r="C78" s="36">
        <v>0.12</v>
      </c>
      <c r="D78" s="121">
        <f>490/1000*970</f>
        <v>475.3</v>
      </c>
    </row>
    <row r="79" spans="1:13" x14ac:dyDescent="0.25">
      <c r="A79" s="115" t="s">
        <v>5</v>
      </c>
      <c r="B79" s="99">
        <v>0.46</v>
      </c>
      <c r="C79" s="99">
        <v>0.1</v>
      </c>
      <c r="D79" s="122">
        <v>447</v>
      </c>
    </row>
    <row r="81" spans="1:6" x14ac:dyDescent="0.25">
      <c r="A81" s="110" t="s">
        <v>111</v>
      </c>
      <c r="B81" s="179" t="s">
        <v>123</v>
      </c>
      <c r="C81" s="179" t="s">
        <v>112</v>
      </c>
      <c r="D81" s="179" t="s">
        <v>115</v>
      </c>
      <c r="E81" s="180" t="s">
        <v>122</v>
      </c>
    </row>
    <row r="82" spans="1:6" x14ac:dyDescent="0.25">
      <c r="A82" s="78" t="s">
        <v>102</v>
      </c>
      <c r="B82" s="182">
        <v>1.1000000000000001</v>
      </c>
      <c r="C82" s="20" t="s">
        <v>116</v>
      </c>
      <c r="D82" s="169">
        <f t="shared" ref="D82:D90" si="18">VLOOKUP(C82,$A$98:$B$100,2)*B82</f>
        <v>1210</v>
      </c>
      <c r="E82" s="121">
        <f t="shared" ref="E82:E90" si="19">ROUND((VLOOKUP(C82,$A$104:$B$106,2)*VLOOKUP(C82,$A$98:$B$100,2)+D82)/100,0)*100</f>
        <v>5300</v>
      </c>
    </row>
    <row r="83" spans="1:6" x14ac:dyDescent="0.25">
      <c r="A83" s="171" t="s">
        <v>98</v>
      </c>
      <c r="B83" s="182">
        <f>7.55/5</f>
        <v>1.51</v>
      </c>
      <c r="C83" s="20" t="s">
        <v>116</v>
      </c>
      <c r="D83" s="169">
        <f t="shared" si="18"/>
        <v>1661</v>
      </c>
      <c r="E83" s="121">
        <f t="shared" si="19"/>
        <v>5800</v>
      </c>
    </row>
    <row r="84" spans="1:6" x14ac:dyDescent="0.25">
      <c r="A84" s="78" t="s">
        <v>97</v>
      </c>
      <c r="B84" s="182">
        <v>33.69</v>
      </c>
      <c r="C84" s="20" t="s">
        <v>117</v>
      </c>
      <c r="D84" s="169">
        <f t="shared" si="18"/>
        <v>1852.9499999999998</v>
      </c>
      <c r="E84" s="121">
        <f t="shared" si="19"/>
        <v>6000</v>
      </c>
    </row>
    <row r="85" spans="1:6" x14ac:dyDescent="0.25">
      <c r="A85" s="78" t="s">
        <v>99</v>
      </c>
      <c r="B85" s="182">
        <v>1500</v>
      </c>
      <c r="C85" s="20" t="s">
        <v>121</v>
      </c>
      <c r="D85" s="169">
        <f t="shared" si="18"/>
        <v>1500</v>
      </c>
      <c r="E85" s="121">
        <f t="shared" si="19"/>
        <v>1500</v>
      </c>
    </row>
    <row r="86" spans="1:6" x14ac:dyDescent="0.25">
      <c r="A86" s="171" t="s">
        <v>103</v>
      </c>
      <c r="B86" s="182">
        <v>1500</v>
      </c>
      <c r="C86" s="20" t="s">
        <v>121</v>
      </c>
      <c r="D86" s="169">
        <f t="shared" si="18"/>
        <v>1500</v>
      </c>
      <c r="E86" s="121">
        <f t="shared" si="19"/>
        <v>1500</v>
      </c>
    </row>
    <row r="87" spans="1:6" x14ac:dyDescent="0.25">
      <c r="A87" s="171" t="s">
        <v>107</v>
      </c>
      <c r="B87" s="184">
        <f>7.55/5</f>
        <v>1.51</v>
      </c>
      <c r="C87" s="20" t="s">
        <v>116</v>
      </c>
      <c r="D87" s="169">
        <f t="shared" si="18"/>
        <v>1661</v>
      </c>
      <c r="E87" s="121">
        <f t="shared" si="19"/>
        <v>5800</v>
      </c>
    </row>
    <row r="88" spans="1:6" x14ac:dyDescent="0.25">
      <c r="A88" s="78" t="s">
        <v>104</v>
      </c>
      <c r="B88" s="182">
        <v>1.1000000000000001</v>
      </c>
      <c r="C88" s="20" t="s">
        <v>116</v>
      </c>
      <c r="D88" s="169">
        <f t="shared" si="18"/>
        <v>1210</v>
      </c>
      <c r="E88" s="121">
        <f t="shared" si="19"/>
        <v>5300</v>
      </c>
    </row>
    <row r="89" spans="1:6" x14ac:dyDescent="0.25">
      <c r="A89" s="78" t="s">
        <v>105</v>
      </c>
      <c r="B89" s="182">
        <f>7.55/5</f>
        <v>1.51</v>
      </c>
      <c r="C89" s="20" t="s">
        <v>116</v>
      </c>
      <c r="D89" s="169">
        <f t="shared" si="18"/>
        <v>1661</v>
      </c>
      <c r="E89" s="121">
        <f t="shared" si="19"/>
        <v>5800</v>
      </c>
    </row>
    <row r="90" spans="1:6" x14ac:dyDescent="0.25">
      <c r="A90" s="80" t="s">
        <v>106</v>
      </c>
      <c r="B90" s="183">
        <v>33.69</v>
      </c>
      <c r="C90" s="102" t="s">
        <v>117</v>
      </c>
      <c r="D90" s="101">
        <f t="shared" si="18"/>
        <v>1852.9499999999998</v>
      </c>
      <c r="E90" s="122">
        <f t="shared" si="19"/>
        <v>6000</v>
      </c>
    </row>
    <row r="92" spans="1:6" x14ac:dyDescent="0.25">
      <c r="A92" s="110" t="s">
        <v>150</v>
      </c>
      <c r="B92" s="95" t="s">
        <v>151</v>
      </c>
      <c r="C92" s="95" t="s">
        <v>154</v>
      </c>
      <c r="D92" s="95" t="s">
        <v>153</v>
      </c>
      <c r="E92" s="96" t="s">
        <v>130</v>
      </c>
      <c r="F92" s="20"/>
    </row>
    <row r="93" spans="1:6" x14ac:dyDescent="0.25">
      <c r="A93" s="78" t="s">
        <v>137</v>
      </c>
      <c r="B93" s="20"/>
      <c r="C93" s="20"/>
      <c r="D93" s="20"/>
      <c r="E93" s="97"/>
      <c r="F93" s="20"/>
    </row>
    <row r="94" spans="1:6" x14ac:dyDescent="0.25">
      <c r="A94" s="80" t="s">
        <v>152</v>
      </c>
      <c r="B94" s="212">
        <f>600000/10</f>
        <v>60000</v>
      </c>
      <c r="C94" s="212">
        <f>(60000+10000)/10</f>
        <v>7000</v>
      </c>
      <c r="D94" s="102">
        <v>330</v>
      </c>
      <c r="E94" s="122">
        <f>(B94+C94)/D94</f>
        <v>203.03030303030303</v>
      </c>
      <c r="F94" s="20"/>
    </row>
    <row r="97" spans="1:3" x14ac:dyDescent="0.25">
      <c r="A97" s="110" t="s">
        <v>120</v>
      </c>
      <c r="B97" s="95"/>
      <c r="C97" s="96"/>
    </row>
    <row r="98" spans="1:3" x14ac:dyDescent="0.25">
      <c r="A98" s="78" t="s">
        <v>116</v>
      </c>
      <c r="B98" s="169">
        <v>1100</v>
      </c>
      <c r="C98" s="97" t="s">
        <v>119</v>
      </c>
    </row>
    <row r="99" spans="1:3" x14ac:dyDescent="0.25">
      <c r="A99" s="78" t="s">
        <v>121</v>
      </c>
      <c r="B99" s="169">
        <v>1</v>
      </c>
      <c r="C99" s="97" t="s">
        <v>124</v>
      </c>
    </row>
    <row r="100" spans="1:3" x14ac:dyDescent="0.25">
      <c r="A100" s="80" t="s">
        <v>117</v>
      </c>
      <c r="B100" s="101">
        <v>55</v>
      </c>
      <c r="C100" s="83" t="s">
        <v>118</v>
      </c>
    </row>
    <row r="102" spans="1:3" x14ac:dyDescent="0.25">
      <c r="A102" s="110" t="s">
        <v>125</v>
      </c>
      <c r="B102" s="95"/>
      <c r="C102" s="96"/>
    </row>
    <row r="103" spans="1:3" x14ac:dyDescent="0.25">
      <c r="A103" s="78" t="s">
        <v>126</v>
      </c>
      <c r="B103" s="20"/>
      <c r="C103" s="97"/>
    </row>
    <row r="104" spans="1:3" x14ac:dyDescent="0.25">
      <c r="A104" s="187" t="s">
        <v>116</v>
      </c>
      <c r="B104" s="185">
        <f>4100/1100</f>
        <v>3.7272727272727271</v>
      </c>
      <c r="C104" s="97" t="s">
        <v>128</v>
      </c>
    </row>
    <row r="105" spans="1:3" x14ac:dyDescent="0.25">
      <c r="A105" s="187" t="s">
        <v>121</v>
      </c>
      <c r="B105" s="20">
        <v>0</v>
      </c>
      <c r="C105" s="97" t="s">
        <v>127</v>
      </c>
    </row>
    <row r="106" spans="1:3" x14ac:dyDescent="0.25">
      <c r="A106" s="188" t="s">
        <v>117</v>
      </c>
      <c r="B106" s="189">
        <f>B104*B98/B100</f>
        <v>74.545454545454547</v>
      </c>
      <c r="C106" s="83" t="s">
        <v>129</v>
      </c>
    </row>
  </sheetData>
  <sortState ref="A62:G65">
    <sortCondition ref="A62:A65"/>
  </sortState>
  <mergeCells count="4">
    <mergeCell ref="A50:B56"/>
    <mergeCell ref="A1:I1"/>
    <mergeCell ref="M2:N3"/>
    <mergeCell ref="M21:N21"/>
  </mergeCells>
  <conditionalFormatting sqref="B25:C25 C26 G22 H31:H32 C27:D27 C28:C33 D30:D32">
    <cfRule type="cellIs" dxfId="16" priority="28" operator="between">
      <formula>$B$26</formula>
      <formula>$B$27</formula>
    </cfRule>
  </conditionalFormatting>
  <conditionalFormatting sqref="B25">
    <cfRule type="cellIs" dxfId="15" priority="23" operator="notBetween">
      <formula>$B$26</formula>
      <formula>$B$27</formula>
    </cfRule>
    <cfRule type="cellIs" dxfId="14" priority="1" operator="greaterThan">
      <formula>0.0152</formula>
    </cfRule>
  </conditionalFormatting>
  <conditionalFormatting sqref="B20">
    <cfRule type="cellIs" dxfId="13" priority="19" operator="lessThanOrEqual">
      <formula>$B$21</formula>
    </cfRule>
    <cfRule type="cellIs" dxfId="12" priority="20" operator="greaterThan">
      <formula>$B$21</formula>
    </cfRule>
  </conditionalFormatting>
  <conditionalFormatting sqref="F31:F32">
    <cfRule type="cellIs" dxfId="11" priority="18" operator="between">
      <formula>$B$26</formula>
      <formula>$B$27</formula>
    </cfRule>
  </conditionalFormatting>
  <conditionalFormatting sqref="B44">
    <cfRule type="cellIs" dxfId="10" priority="16" operator="notBetween">
      <formula>2.75</formula>
      <formula>3.25</formula>
    </cfRule>
    <cfRule type="cellIs" dxfId="9" priority="17" operator="between">
      <formula>2.75</formula>
      <formula>3.25</formula>
    </cfRule>
  </conditionalFormatting>
  <conditionalFormatting sqref="H22">
    <cfRule type="cellIs" dxfId="8" priority="14" operator="between">
      <formula>$B$26</formula>
      <formula>$B$27</formula>
    </cfRule>
  </conditionalFormatting>
  <conditionalFormatting sqref="L36:L37">
    <cfRule type="cellIs" dxfId="7" priority="7" operator="lessThan">
      <formula>2</formula>
    </cfRule>
    <cfRule type="cellIs" dxfId="6" priority="8" operator="between">
      <formula>2</formula>
      <formula>$K$36</formula>
    </cfRule>
    <cfRule type="cellIs" dxfId="5" priority="9" operator="between">
      <formula>$K$36</formula>
      <formula>10</formula>
    </cfRule>
  </conditionalFormatting>
  <conditionalFormatting sqref="L40:L41">
    <cfRule type="cellIs" dxfId="4" priority="6" operator="between">
      <formula>1000</formula>
      <formula>10000</formula>
    </cfRule>
  </conditionalFormatting>
  <conditionalFormatting sqref="L38">
    <cfRule type="cellIs" dxfId="3" priority="2" operator="between">
      <formula>1</formula>
      <formula>$K$38</formula>
    </cfRule>
    <cfRule type="cellIs" dxfId="2" priority="3" operator="between">
      <formula>$K$38</formula>
      <formula>35000</formula>
    </cfRule>
  </conditionalFormatting>
  <conditionalFormatting sqref="B17">
    <cfRule type="cellIs" dxfId="1" priority="29" operator="notBetween">
      <formula>$B$18</formula>
      <formula>$B$19</formula>
    </cfRule>
    <cfRule type="cellIs" dxfId="0" priority="30" operator="between">
      <formula>$B$18</formula>
      <formula>$B$19</formula>
    </cfRule>
  </conditionalFormatting>
  <dataValidations count="2">
    <dataValidation type="list" allowBlank="1" showInputMessage="1" showErrorMessage="1" sqref="A6:A12">
      <formula1>$A$62:$A$70</formula1>
    </dataValidation>
    <dataValidation type="list" allowBlank="1" showInputMessage="1" showErrorMessage="1" sqref="A3:A5">
      <formula1>$A$73:$A$75</formula1>
    </dataValidation>
  </dataValidations>
  <pageMargins left="0.7" right="0.7" top="0.75" bottom="0.75" header="0.51180555555555496" footer="0.51180555555555496"/>
  <pageSetup paperSize="9" scale="48" firstPageNumber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UREA in prewetting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2</cp:revision>
  <cp:lastPrinted>2020-07-10T11:20:24Z</cp:lastPrinted>
  <dcterms:created xsi:type="dcterms:W3CDTF">2017-10-12T12:36:45Z</dcterms:created>
  <dcterms:modified xsi:type="dcterms:W3CDTF">2023-01-03T12:41:15Z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